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970" windowHeight="6735" activeTab="0"/>
  </bookViews>
  <sheets>
    <sheet name="Tabelle1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<sst xmlns="http://schemas.openxmlformats.org/spreadsheetml/2006/main" count="218" uniqueCount="158">
  <si>
    <t>Kalkulation der Kosten und Erträge sowie der Startfinanzierung für einen Grossverbund.</t>
  </si>
  <si>
    <t>bud1mod3.xls</t>
  </si>
  <si>
    <t>Verbund: ..................................................................</t>
  </si>
  <si>
    <t>Lehrberuf: .........................................................................</t>
  </si>
  <si>
    <t>Annahmen:</t>
  </si>
  <si>
    <t>Legende:</t>
  </si>
  <si>
    <t>neue Lehrlinge pro Jahr:</t>
  </si>
  <si>
    <r>
      <t>kursiv</t>
    </r>
    <r>
      <rPr>
        <sz val="8"/>
        <color indexed="9"/>
        <rFont val="Arial"/>
        <family val="2"/>
      </rPr>
      <t xml:space="preserve"> geschriebene Werte:</t>
    </r>
  </si>
  <si>
    <t>wählbare Annahmen</t>
  </si>
  <si>
    <t>(veränderbar)</t>
  </si>
  <si>
    <t>Verwaltungskostenanteil (Faktor):</t>
  </si>
  <si>
    <t>mit Normalschrift geschrieben:</t>
  </si>
  <si>
    <t>berechnete Grössen</t>
  </si>
  <si>
    <t>(nicht veränderbar)</t>
  </si>
  <si>
    <t>fett geschriebene Werte:</t>
  </si>
  <si>
    <t>wichtige Resultate</t>
  </si>
  <si>
    <t>Startkosten:</t>
  </si>
  <si>
    <t>Verbund-Initialisierung</t>
  </si>
  <si>
    <t>1. GJ</t>
  </si>
  <si>
    <t>2. GJ</t>
  </si>
  <si>
    <t xml:space="preserve">Zum freien Gebrauch zur Verfügung gestellt von der Projektgruppe "Verbundkonzepte"  </t>
  </si>
  <si>
    <t>3. GJ</t>
  </si>
  <si>
    <t>der Deutschschweizerischen Berufsbildungsämter-Konferenz DBK.</t>
  </si>
  <si>
    <t>Total Sartbeiträge</t>
  </si>
  <si>
    <t>Eine kommerzielle Nutzung ist untersagt !</t>
  </si>
  <si>
    <t>Finanzierung:</t>
  </si>
  <si>
    <t>Kredit Kt. rückzahlbar (in Raten nach 4 J)</t>
  </si>
  <si>
    <t xml:space="preserve">Einkaufsbetrag der Firmen pro LL </t>
  </si>
  <si>
    <t>Benützung dieses Kalkulationsmodells: Die Zahlen die für einen bestimmten Ausbildungsverbund</t>
  </si>
  <si>
    <t>Einkaufsbetrag der Firmen total</t>
  </si>
  <si>
    <t xml:space="preserve">zutreffen in die roten Felder eingeben (die roten Felder sind veränderbar). Die übrigen Felder sind  </t>
  </si>
  <si>
    <t>Beiträge Dritter</t>
  </si>
  <si>
    <t>schreibgeschützt. Sie enthalten Formeln und zeigen errechnete Grössen an (siehe auch Legende).</t>
  </si>
  <si>
    <t>Mittel aus Lehrstellenbeschluss</t>
  </si>
  <si>
    <t>Berufsschule: Zweiphasenmodell mit integrierter Berufsmaturiätsschule</t>
  </si>
  <si>
    <t>Normal-Modell</t>
  </si>
  <si>
    <t>2Phasen-Modell</t>
  </si>
  <si>
    <t>Anzahl Schultage</t>
  </si>
  <si>
    <t>Mehrschule (%)</t>
  </si>
  <si>
    <t>Lehrlingsentschädigung:</t>
  </si>
  <si>
    <t>1. Lehrjahr:</t>
  </si>
  <si>
    <t>2. Lehrjahr:</t>
  </si>
  <si>
    <t>3. Lehrjahr:</t>
  </si>
  <si>
    <t>Tot. Lehre</t>
  </si>
  <si>
    <t>Entschädigungs-Richtwerte SKV/Mt.</t>
  </si>
  <si>
    <t>SKV-Ansätze/Jahr (=13x)</t>
  </si>
  <si>
    <t xml:space="preserve">Ansatz Verbund/Jahr </t>
  </si>
  <si>
    <t>Abweichung SKA/Verbund (-%)</t>
  </si>
  <si>
    <t>Vergleich: Mehrschule (+%)</t>
  </si>
  <si>
    <t>Lehrlingslohn pro Woche</t>
  </si>
  <si>
    <t>inkl. Lohnnebenkosten (7.75%)</t>
  </si>
  <si>
    <t>Lehrlingsentsch./Mt im Lehrvertrag (13x)</t>
  </si>
  <si>
    <t>Personalkosten Verbundleitung:</t>
  </si>
  <si>
    <t xml:space="preserve">1. GJ </t>
  </si>
  <si>
    <t xml:space="preserve">2. GJ </t>
  </si>
  <si>
    <t xml:space="preserve">3. GJ </t>
  </si>
  <si>
    <t>Bruttosalär / Monat (100%)</t>
  </si>
  <si>
    <t>Bruttosalär / Jahr (13x)</t>
  </si>
  <si>
    <t>Salärnebenkosten inkl. PK (20%)</t>
  </si>
  <si>
    <t>Total Salärkosten Leitung</t>
  </si>
  <si>
    <t>Beschäftigungsgrad 1. GJ (%)</t>
  </si>
  <si>
    <t>Beschäftigungsgrad 2. GJ (%)</t>
  </si>
  <si>
    <t>Beschäftigungsgrad 3. GJ (%)</t>
  </si>
  <si>
    <t>Sekretariatshilfe (Lehrling 1. Ph. ab 2. Sem.)</t>
  </si>
  <si>
    <t>Total Personalkosten Leitung</t>
  </si>
  <si>
    <t>Kosten Büro Verbundleitung:</t>
  </si>
  <si>
    <t>Büromiete pro Jahr</t>
  </si>
  <si>
    <t>Weitere Kosten / Jahr</t>
  </si>
  <si>
    <t>Information / Werbung</t>
  </si>
  <si>
    <t>Diverses (Seminare usw.)</t>
  </si>
  <si>
    <t>Total Bürokosten (bei 100% Betrieb)</t>
  </si>
  <si>
    <t>Auslastung 1. JG in %</t>
  </si>
  <si>
    <t>Auslastung 2. JG in %</t>
  </si>
  <si>
    <t>Auslastung 3. JG in %</t>
  </si>
  <si>
    <t>Erträge, Beiträge der Verbundfirmen (pro Lehrling und Woche Lehrlingseinsatz im Betrieb)</t>
  </si>
  <si>
    <t>(33% höhere Präsenz gegnüber dem Normalmodell wird in Rechnung gestellt)</t>
  </si>
  <si>
    <t>1. Betriebsblock</t>
  </si>
  <si>
    <t>2. Betriebsblock</t>
  </si>
  <si>
    <t>(Basis: SKV 2.LJ)</t>
  </si>
  <si>
    <t>(Basis: SKV 3. LJ)</t>
  </si>
  <si>
    <t>Grundansatz pro Woche</t>
  </si>
  <si>
    <t>inkl. 33% höhere Lehrlingspräsenz</t>
  </si>
  <si>
    <t>Lohnnebenkosten (7.75%)</t>
  </si>
  <si>
    <t>Verwaltungskostenanteil</t>
  </si>
  <si>
    <t>12% Ferienzuschlag/weitere Absenzen</t>
  </si>
  <si>
    <t>Total Ertrag/Lehrling und Woche</t>
  </si>
  <si>
    <r>
      <t xml:space="preserve">Initialisierungsphase, </t>
    </r>
    <r>
      <rPr>
        <sz val="10"/>
        <rFont val="Arial"/>
        <family val="0"/>
      </rPr>
      <t>Verbundleitung (VL) bereits installiert</t>
    </r>
  </si>
  <si>
    <t>(Einarbeitung in die Aufgabe, Vorbereitungsarbeiten usw.)</t>
  </si>
  <si>
    <t>VL eingestellt, Anzahl Mt. vor Lehrbeginn:</t>
  </si>
  <si>
    <t>Personalkosten Verbundleitung</t>
  </si>
  <si>
    <t>Bürokosten</t>
  </si>
  <si>
    <t>Total Initialisierungskosten (PL AfB)</t>
  </si>
  <si>
    <t>Ertrag (Beitrag für Verbund-Initialisierung)</t>
  </si>
  <si>
    <t>Überschuss</t>
  </si>
  <si>
    <t>Modellrechnung für etablierten Verbund (3 Lehrlingsjahrgänge)</t>
  </si>
  <si>
    <t>(Basis: Grafik des Zeitmodells für den Verbund)</t>
  </si>
  <si>
    <t>Phase</t>
  </si>
  <si>
    <t>Lehrjahr</t>
  </si>
  <si>
    <t>Anzahl Wochen tot.</t>
  </si>
  <si>
    <t>Personalkosten Lehrlinge</t>
  </si>
  <si>
    <t>Wochen im Betrieb</t>
  </si>
  <si>
    <t>Ertrag</t>
  </si>
  <si>
    <t>(Ferien + Krankh. abgezogen)</t>
  </si>
  <si>
    <t>Schulblock 1 (inkl. EK / Seminarien)</t>
  </si>
  <si>
    <t>1.</t>
  </si>
  <si>
    <t>Betriebsblock 1.1</t>
  </si>
  <si>
    <t>Betriebsblock 1.2</t>
  </si>
  <si>
    <t>2.</t>
  </si>
  <si>
    <t>Schulblock 2 (inkl. EK / Seminar)</t>
  </si>
  <si>
    <t>Betriebsblock 2.1</t>
  </si>
  <si>
    <t>Betriebsblock 3</t>
  </si>
  <si>
    <t>3.</t>
  </si>
  <si>
    <t>Schulblock 3 (inkl. Seminar)</t>
  </si>
  <si>
    <t>Total 1 Lehrling</t>
  </si>
  <si>
    <t>Total alle Lehrlinge</t>
  </si>
  <si>
    <t>Gesamtrechnung:</t>
  </si>
  <si>
    <t>Gesamtkosten</t>
  </si>
  <si>
    <t>Erträge:</t>
  </si>
  <si>
    <t>Überschuss / Rückstellung (Liquiditätsbeitr)</t>
  </si>
  <si>
    <t>Kosten und Erträge für das 1. Geschäftsjahr:</t>
  </si>
  <si>
    <t>Monat -&gt;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</si>
  <si>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</si>
  <si>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</si>
  <si>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</si>
  <si>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</si>
  <si>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</si>
  <si>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</si>
  <si>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</si>
  <si>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</si>
  <si>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</si>
  <si>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Kosten pro Monat:</t>
  </si>
  <si>
    <t>Totalkosten</t>
  </si>
  <si>
    <t>Erträge/Monat</t>
  </si>
  <si>
    <t>Kummuliert</t>
  </si>
  <si>
    <t>Übertrag aus Initialisierungsphase</t>
  </si>
  <si>
    <t>Startbeitrag für 1. GJ</t>
  </si>
  <si>
    <t>Total Anfangsliqidität 1. GJ</t>
  </si>
  <si>
    <t>Liquiditätsplanung</t>
  </si>
  <si>
    <t>Kosten und Erträge für das 2. Geschäftsjahr:</t>
  </si>
  <si>
    <t>Kosten/Monat:</t>
  </si>
  <si>
    <t>Personalkosten Lehrlinge 1.LJ</t>
  </si>
  <si>
    <t>Personalkosten Lehrlinge 2.LJ</t>
  </si>
  <si>
    <t>Erträge 1. Lehrjahr</t>
  </si>
  <si>
    <t>Erträge 2. Lehrjahr</t>
  </si>
  <si>
    <t>Total Erträge</t>
  </si>
  <si>
    <t>Übertrag 1. GJ</t>
  </si>
  <si>
    <t>Startbeitrag für 2. GJ</t>
  </si>
  <si>
    <t>Total Anfangsliqidität 2. GJ</t>
  </si>
  <si>
    <t>Kosten und Erträge für das 3. Geschäftsjahr und folgende:</t>
  </si>
  <si>
    <t>Personalkosten Lehrlinge 1. LJ</t>
  </si>
  <si>
    <t>Personalkosten Lehrlinge 2. LJ</t>
  </si>
  <si>
    <t>Personalkosten Lehrlinge 3. LJ</t>
  </si>
  <si>
    <t>Ertäge 1. Lehrjahr</t>
  </si>
  <si>
    <t>Ertäge 2. Lehrjahr</t>
  </si>
  <si>
    <t>Ertäge 3. Lehrjahr</t>
  </si>
  <si>
    <t>Übertrag Liqidität 2. GJ</t>
  </si>
  <si>
    <t>Startbeitrag 3. GJ</t>
  </si>
  <si>
    <t>Total Anfangsliqidität 3. JG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</si>
</sst>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_(* #,##0_);_(* \(#,##0\);_(* &quot;-&quot;??_);_(@_)"/>
    <numFmt numFmtId="181" formatCode="_(* #,##0.0_);_(* \(#,##0.0\);_(* &quot;-&quot;??_);_(@_)"/>
    <numFmt numFmtId="182" formatCode="_(* #,##0.00_);_(* \(#,##0.00\);_(* &quot;-&quot;??_);_(@_)"/>
    <numFmt numFmtId="183" formatCode="_ * #,##0.000_ ;_ * \-#,##0.000_ ;_ * &quot;-&quot;??_ ;_ @_ "/>
    <numFmt numFmtId="184" formatCode="_ * #,##0.0000_ ;_ * \-#,##0.0000_ ;_ * &quot;-&quot;??_ ;_ @_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9"/>
      <name val="Arial"/>
      <family val="2"/>
    </font>
    <font>
      <i/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0" xfId="41" applyNumberFormat="1" applyFont="1" applyAlignment="1">
      <alignment/>
    </xf>
    <xf numFmtId="4" fontId="8" fillId="0" borderId="0" xfId="41" applyNumberFormat="1" applyFont="1" applyAlignment="1">
      <alignment/>
    </xf>
    <xf numFmtId="4" fontId="7" fillId="0" borderId="0" xfId="0" applyNumberFormat="1" applyFont="1" applyAlignment="1" quotePrefix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quotePrefix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 quotePrefix="1">
      <alignment/>
    </xf>
    <xf numFmtId="4" fontId="5" fillId="0" borderId="0" xfId="0" applyNumberFormat="1" applyFont="1" applyAlignment="1">
      <alignment horizontal="center"/>
    </xf>
    <xf numFmtId="4" fontId="5" fillId="0" borderId="0" xfId="41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179" fontId="7" fillId="0" borderId="0" xfId="41" applyNumberFormat="1" applyFont="1" applyAlignment="1">
      <alignment/>
    </xf>
    <xf numFmtId="179" fontId="8" fillId="0" borderId="0" xfId="41" applyNumberFormat="1" applyFont="1" applyAlignment="1">
      <alignment/>
    </xf>
    <xf numFmtId="179" fontId="10" fillId="0" borderId="0" xfId="41" applyNumberFormat="1" applyFont="1" applyAlignment="1">
      <alignment/>
    </xf>
    <xf numFmtId="179" fontId="7" fillId="0" borderId="0" xfId="41" applyNumberFormat="1" applyFont="1" applyAlignment="1">
      <alignment horizontal="center"/>
    </xf>
    <xf numFmtId="179" fontId="7" fillId="0" borderId="0" xfId="41" applyNumberFormat="1" applyFont="1" applyBorder="1" applyAlignment="1">
      <alignment/>
    </xf>
    <xf numFmtId="179" fontId="5" fillId="0" borderId="0" xfId="41" applyNumberFormat="1" applyFont="1" applyAlignment="1">
      <alignment/>
    </xf>
    <xf numFmtId="179" fontId="0" fillId="0" borderId="0" xfId="41" applyNumberFormat="1" applyFont="1" applyAlignment="1">
      <alignment/>
    </xf>
    <xf numFmtId="179" fontId="11" fillId="0" borderId="0" xfId="41" applyNumberFormat="1" applyFont="1" applyAlignment="1">
      <alignment/>
    </xf>
    <xf numFmtId="179" fontId="13" fillId="0" borderId="0" xfId="41" applyNumberFormat="1" applyFont="1" applyFill="1" applyBorder="1" applyAlignment="1">
      <alignment/>
    </xf>
    <xf numFmtId="179" fontId="10" fillId="0" borderId="0" xfId="41" applyNumberFormat="1" applyFont="1" applyFill="1" applyBorder="1" applyAlignment="1">
      <alignment/>
    </xf>
    <xf numFmtId="43" fontId="7" fillId="0" borderId="0" xfId="41" applyNumberFormat="1" applyFont="1" applyAlignment="1">
      <alignment/>
    </xf>
    <xf numFmtId="43" fontId="9" fillId="0" borderId="0" xfId="41" applyNumberFormat="1" applyFont="1" applyAlignment="1">
      <alignment/>
    </xf>
    <xf numFmtId="43" fontId="7" fillId="0" borderId="10" xfId="41" applyNumberFormat="1" applyFont="1" applyBorder="1" applyAlignment="1">
      <alignment/>
    </xf>
    <xf numFmtId="43" fontId="7" fillId="0" borderId="0" xfId="41" applyNumberFormat="1" applyFont="1" applyBorder="1" applyAlignment="1">
      <alignment/>
    </xf>
    <xf numFmtId="43" fontId="7" fillId="0" borderId="11" xfId="41" applyNumberFormat="1" applyFont="1" applyBorder="1" applyAlignment="1">
      <alignment/>
    </xf>
    <xf numFmtId="179" fontId="9" fillId="0" borderId="0" xfId="41" applyNumberFormat="1" applyFont="1" applyAlignment="1">
      <alignment/>
    </xf>
    <xf numFmtId="179" fontId="8" fillId="0" borderId="0" xfId="41" applyNumberFormat="1" applyFont="1" applyBorder="1" applyAlignment="1">
      <alignment/>
    </xf>
    <xf numFmtId="43" fontId="8" fillId="0" borderId="0" xfId="41" applyNumberFormat="1" applyFon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9" fontId="7" fillId="0" borderId="0" xfId="41" applyNumberFormat="1" applyFont="1" applyFill="1" applyAlignment="1">
      <alignment/>
    </xf>
    <xf numFmtId="179" fontId="8" fillId="0" borderId="0" xfId="41" applyNumberFormat="1" applyFont="1" applyFill="1" applyAlignment="1">
      <alignment/>
    </xf>
    <xf numFmtId="179" fontId="8" fillId="33" borderId="0" xfId="41" applyNumberFormat="1" applyFont="1" applyFill="1" applyAlignment="1">
      <alignment/>
    </xf>
    <xf numFmtId="179" fontId="9" fillId="33" borderId="0" xfId="41" applyNumberFormat="1" applyFont="1" applyFill="1" applyAlignment="1">
      <alignment/>
    </xf>
    <xf numFmtId="43" fontId="8" fillId="33" borderId="0" xfId="41" applyNumberFormat="1" applyFont="1" applyFill="1" applyAlignment="1">
      <alignment/>
    </xf>
    <xf numFmtId="43" fontId="9" fillId="33" borderId="0" xfId="41" applyNumberFormat="1" applyFont="1" applyFill="1" applyAlignment="1">
      <alignment/>
    </xf>
    <xf numFmtId="179" fontId="7" fillId="33" borderId="0" xfId="41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 horizontal="left"/>
    </xf>
    <xf numFmtId="179" fontId="7" fillId="33" borderId="0" xfId="41" applyNumberFormat="1" applyFont="1" applyFill="1" applyAlignment="1">
      <alignment horizontal="right"/>
    </xf>
    <xf numFmtId="179" fontId="8" fillId="33" borderId="0" xfId="41" applyNumberFormat="1" applyFont="1" applyFill="1" applyAlignment="1">
      <alignment/>
    </xf>
    <xf numFmtId="179" fontId="7" fillId="33" borderId="0" xfId="41" applyNumberFormat="1" applyFont="1" applyFill="1" applyAlignment="1">
      <alignment/>
    </xf>
    <xf numFmtId="179" fontId="9" fillId="33" borderId="0" xfId="41" applyNumberFormat="1" applyFont="1" applyFill="1" applyAlignment="1">
      <alignment/>
    </xf>
    <xf numFmtId="179" fontId="8" fillId="33" borderId="0" xfId="41" applyNumberFormat="1" applyFont="1" applyFill="1" applyAlignment="1">
      <alignment horizontal="center"/>
    </xf>
    <xf numFmtId="179" fontId="7" fillId="33" borderId="0" xfId="41" applyNumberFormat="1" applyFont="1" applyFill="1" applyAlignment="1">
      <alignment horizontal="center"/>
    </xf>
    <xf numFmtId="179" fontId="8" fillId="33" borderId="0" xfId="41" applyNumberFormat="1" applyFont="1" applyFill="1" applyAlignment="1">
      <alignment horizontal="center"/>
    </xf>
    <xf numFmtId="4" fontId="8" fillId="33" borderId="0" xfId="41" applyNumberFormat="1" applyFont="1" applyFill="1" applyAlignment="1">
      <alignment/>
    </xf>
    <xf numFmtId="179" fontId="1" fillId="33" borderId="0" xfId="41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79" fontId="7" fillId="33" borderId="0" xfId="41" applyNumberFormat="1" applyFont="1" applyFill="1" applyAlignment="1" quotePrefix="1">
      <alignment horizontal="center"/>
    </xf>
    <xf numFmtId="179" fontId="7" fillId="33" borderId="0" xfId="41" applyNumberFormat="1" applyFont="1" applyFill="1" applyAlignment="1" quotePrefix="1">
      <alignment/>
    </xf>
    <xf numFmtId="179" fontId="8" fillId="33" borderId="0" xfId="41" applyNumberFormat="1" applyFont="1" applyFill="1" applyAlignment="1" quotePrefix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 quotePrefix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41" applyNumberFormat="1" applyFont="1" applyFill="1" applyAlignment="1">
      <alignment/>
    </xf>
    <xf numFmtId="179" fontId="8" fillId="33" borderId="0" xfId="41" applyNumberFormat="1" applyFont="1" applyFill="1" applyAlignment="1">
      <alignment horizontal="left"/>
    </xf>
    <xf numFmtId="179" fontId="8" fillId="33" borderId="0" xfId="41" applyNumberFormat="1" applyFont="1" applyFill="1" applyAlignment="1">
      <alignment horizontal="right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center"/>
    </xf>
    <xf numFmtId="179" fontId="4" fillId="33" borderId="0" xfId="41" applyNumberFormat="1" applyFont="1" applyFill="1" applyAlignment="1">
      <alignment horizontal="left"/>
    </xf>
    <xf numFmtId="179" fontId="4" fillId="33" borderId="0" xfId="41" applyNumberFormat="1" applyFont="1" applyFill="1" applyAlignment="1">
      <alignment horizontal="center"/>
    </xf>
    <xf numFmtId="179" fontId="4" fillId="33" borderId="0" xfId="41" applyNumberFormat="1" applyFont="1" applyFill="1" applyAlignment="1">
      <alignment/>
    </xf>
    <xf numFmtId="179" fontId="5" fillId="33" borderId="0" xfId="41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179" fontId="7" fillId="0" borderId="0" xfId="41" applyNumberFormat="1" applyFont="1" applyBorder="1" applyAlignment="1">
      <alignment/>
    </xf>
    <xf numFmtId="179" fontId="8" fillId="0" borderId="0" xfId="41" applyNumberFormat="1" applyFont="1" applyAlignment="1">
      <alignment/>
    </xf>
    <xf numFmtId="179" fontId="14" fillId="34" borderId="0" xfId="41" applyNumberFormat="1" applyFont="1" applyFill="1" applyAlignment="1">
      <alignment/>
    </xf>
    <xf numFmtId="43" fontId="14" fillId="34" borderId="0" xfId="41" applyNumberFormat="1" applyFont="1" applyFill="1" applyAlignment="1">
      <alignment/>
    </xf>
    <xf numFmtId="179" fontId="14" fillId="34" borderId="0" xfId="41" applyNumberFormat="1" applyFont="1" applyFill="1" applyAlignment="1">
      <alignment horizontal="right"/>
    </xf>
    <xf numFmtId="179" fontId="16" fillId="0" borderId="0" xfId="41" applyNumberFormat="1" applyFont="1" applyFill="1" applyBorder="1" applyAlignment="1">
      <alignment/>
    </xf>
    <xf numFmtId="179" fontId="16" fillId="0" borderId="0" xfId="41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3" fontId="8" fillId="0" borderId="16" xfId="41" applyNumberFormat="1" applyFont="1" applyBorder="1" applyAlignment="1">
      <alignment/>
    </xf>
    <xf numFmtId="43" fontId="8" fillId="0" borderId="12" xfId="41" applyNumberFormat="1" applyFont="1" applyBorder="1" applyAlignment="1">
      <alignment/>
    </xf>
    <xf numFmtId="43" fontId="8" fillId="0" borderId="17" xfId="41" applyNumberFormat="1" applyFont="1" applyBorder="1" applyAlignment="1">
      <alignment/>
    </xf>
    <xf numFmtId="179" fontId="14" fillId="34" borderId="0" xfId="41" applyNumberFormat="1" applyFont="1" applyFill="1" applyBorder="1" applyAlignment="1">
      <alignment/>
    </xf>
    <xf numFmtId="179" fontId="17" fillId="34" borderId="0" xfId="41" applyNumberFormat="1" applyFont="1" applyFill="1" applyBorder="1" applyAlignment="1">
      <alignment/>
    </xf>
    <xf numFmtId="4" fontId="4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>
      <alignment horizontal="right"/>
    </xf>
    <xf numFmtId="43" fontId="1" fillId="0" borderId="0" xfId="41" applyFont="1" applyFill="1" applyAlignment="1">
      <alignment/>
    </xf>
    <xf numFmtId="43" fontId="5" fillId="0" borderId="0" xfId="41" applyFont="1" applyFill="1" applyAlignment="1">
      <alignment/>
    </xf>
    <xf numFmtId="43" fontId="0" fillId="0" borderId="0" xfId="41" applyFont="1" applyFill="1" applyAlignment="1">
      <alignment/>
    </xf>
    <xf numFmtId="179" fontId="5" fillId="0" borderId="0" xfId="41" applyNumberFormat="1" applyFont="1" applyFill="1" applyAlignment="1">
      <alignment/>
    </xf>
    <xf numFmtId="179" fontId="4" fillId="0" borderId="0" xfId="41" applyNumberFormat="1" applyFont="1" applyFill="1" applyAlignment="1">
      <alignment/>
    </xf>
    <xf numFmtId="179" fontId="0" fillId="0" borderId="0" xfId="41" applyNumberFormat="1" applyFont="1" applyFill="1" applyAlignment="1">
      <alignment/>
    </xf>
    <xf numFmtId="43" fontId="4" fillId="0" borderId="0" xfId="41" applyFont="1" applyFill="1" applyAlignment="1">
      <alignment/>
    </xf>
    <xf numFmtId="179" fontId="15" fillId="0" borderId="0" xfId="41" applyNumberFormat="1" applyFont="1" applyFill="1" applyAlignment="1">
      <alignment/>
    </xf>
    <xf numFmtId="178" fontId="5" fillId="0" borderId="0" xfId="41" applyNumberFormat="1" applyFont="1" applyFill="1" applyAlignment="1">
      <alignment/>
    </xf>
    <xf numFmtId="178" fontId="5" fillId="0" borderId="0" xfId="41" applyNumberFormat="1" applyFont="1" applyFill="1" applyAlignment="1">
      <alignment horizontal="right"/>
    </xf>
    <xf numFmtId="178" fontId="5" fillId="0" borderId="0" xfId="41" applyNumberFormat="1" applyFont="1" applyFill="1" applyAlignment="1">
      <alignment horizontal="left"/>
    </xf>
    <xf numFmtId="178" fontId="0" fillId="0" borderId="0" xfId="41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A1">
      <selection activeCell="B6" sqref="B5:B6"/>
    </sheetView>
  </sheetViews>
  <sheetFormatPr defaultColWidth="11.421875" defaultRowHeight="12.75"/>
  <cols>
    <col min="1" max="1" width="28.8515625" style="1" customWidth="1"/>
    <col min="2" max="13" width="8.28125" style="1" customWidth="1"/>
    <col min="14" max="14" width="4.28125" style="0" customWidth="1"/>
  </cols>
  <sheetData>
    <row r="1" spans="1:13" s="4" customFormat="1" ht="15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98" t="s">
        <v>1</v>
      </c>
    </row>
    <row r="2" s="5" customFormat="1" ht="12.75"/>
    <row r="3" spans="1:13" s="4" customFormat="1" ht="12.75">
      <c r="A3" s="97" t="s">
        <v>2</v>
      </c>
      <c r="B3" s="3"/>
      <c r="C3" s="3"/>
      <c r="D3" s="97" t="s">
        <v>3</v>
      </c>
      <c r="E3" s="3"/>
      <c r="F3" s="3"/>
      <c r="G3" s="3"/>
      <c r="H3" s="3"/>
      <c r="I3" s="3"/>
      <c r="J3" s="3"/>
      <c r="K3" s="3"/>
      <c r="L3" s="21"/>
      <c r="M3" s="3"/>
    </row>
    <row r="4" spans="1:10" s="5" customFormat="1" ht="13.5" thickBot="1">
      <c r="A4" s="6"/>
      <c r="E4" s="41"/>
      <c r="F4" s="42"/>
      <c r="G4" s="43"/>
      <c r="H4" s="43"/>
      <c r="I4" s="43"/>
      <c r="J4" s="43"/>
    </row>
    <row r="5" spans="1:12" s="5" customFormat="1" ht="12.75">
      <c r="A5" s="6" t="s">
        <v>4</v>
      </c>
      <c r="F5" s="40" t="s">
        <v>5</v>
      </c>
      <c r="G5" s="41"/>
      <c r="H5" s="41"/>
      <c r="I5" s="41"/>
      <c r="J5" s="89"/>
      <c r="K5" s="90"/>
      <c r="L5" s="91"/>
    </row>
    <row r="6" spans="1:12" s="22" customFormat="1" ht="11.25">
      <c r="A6" s="46" t="s">
        <v>6</v>
      </c>
      <c r="B6" s="84">
        <v>23</v>
      </c>
      <c r="F6" s="95" t="s">
        <v>7</v>
      </c>
      <c r="G6" s="96"/>
      <c r="H6" s="95"/>
      <c r="I6" s="95" t="s">
        <v>8</v>
      </c>
      <c r="J6" s="95"/>
      <c r="K6" s="95" t="s">
        <v>9</v>
      </c>
      <c r="L6" s="96"/>
    </row>
    <row r="7" spans="1:12" s="32" customFormat="1" ht="11.25">
      <c r="A7" s="48" t="s">
        <v>10</v>
      </c>
      <c r="B7" s="85">
        <v>0.1</v>
      </c>
      <c r="F7" s="34" t="s">
        <v>11</v>
      </c>
      <c r="G7" s="35"/>
      <c r="H7" s="35"/>
      <c r="I7" s="35" t="s">
        <v>12</v>
      </c>
      <c r="J7" s="35"/>
      <c r="K7" s="32" t="s">
        <v>13</v>
      </c>
      <c r="L7" s="36"/>
    </row>
    <row r="8" spans="1:12" s="32" customFormat="1" ht="12" thickBot="1">
      <c r="A8" s="39"/>
      <c r="B8" s="33"/>
      <c r="F8" s="92" t="s">
        <v>14</v>
      </c>
      <c r="G8" s="93"/>
      <c r="H8" s="93"/>
      <c r="I8" s="93" t="s">
        <v>15</v>
      </c>
      <c r="J8" s="93"/>
      <c r="K8" s="93" t="s">
        <v>13</v>
      </c>
      <c r="L8" s="94"/>
    </row>
    <row r="9" spans="1:10" s="32" customFormat="1" ht="11.25">
      <c r="A9" s="48" t="s">
        <v>16</v>
      </c>
      <c r="B9" s="49"/>
      <c r="F9" s="35"/>
      <c r="G9" s="35"/>
      <c r="H9" s="35"/>
      <c r="I9" s="35"/>
      <c r="J9" s="35"/>
    </row>
    <row r="10" spans="1:10" s="22" customFormat="1" ht="11.25">
      <c r="A10" s="50" t="s">
        <v>17</v>
      </c>
      <c r="B10" s="84">
        <v>50000</v>
      </c>
      <c r="F10" s="26"/>
      <c r="G10" s="26"/>
      <c r="H10" s="26"/>
      <c r="I10" s="26"/>
      <c r="J10" s="26"/>
    </row>
    <row r="11" spans="1:10" s="22" customFormat="1" ht="10.5" customHeight="1">
      <c r="A11" s="50" t="s">
        <v>18</v>
      </c>
      <c r="B11" s="84">
        <v>155000</v>
      </c>
      <c r="F11" s="38"/>
      <c r="G11" s="26"/>
      <c r="H11" s="26"/>
      <c r="I11" s="26"/>
      <c r="J11" s="26"/>
    </row>
    <row r="12" spans="1:10" s="22" customFormat="1" ht="10.5" customHeight="1">
      <c r="A12" s="50" t="s">
        <v>19</v>
      </c>
      <c r="B12" s="84">
        <v>80000</v>
      </c>
      <c r="F12" s="82" t="s">
        <v>20</v>
      </c>
      <c r="G12" s="26"/>
      <c r="H12" s="26"/>
      <c r="I12" s="26"/>
      <c r="J12" s="26"/>
    </row>
    <row r="13" spans="1:10" s="22" customFormat="1" ht="10.5" customHeight="1">
      <c r="A13" s="50" t="s">
        <v>21</v>
      </c>
      <c r="B13" s="84">
        <v>0</v>
      </c>
      <c r="F13" s="82" t="s">
        <v>22</v>
      </c>
      <c r="G13" s="26"/>
      <c r="H13" s="26"/>
      <c r="I13" s="26"/>
      <c r="J13" s="26"/>
    </row>
    <row r="14" spans="1:6" s="22" customFormat="1" ht="10.5" customHeight="1">
      <c r="A14" s="50" t="s">
        <v>23</v>
      </c>
      <c r="B14" s="46">
        <f>SUM(B10:B13)</f>
        <v>285000</v>
      </c>
      <c r="F14" s="83" t="s">
        <v>24</v>
      </c>
    </row>
    <row r="15" spans="1:2" s="22" customFormat="1" ht="10.5" customHeight="1">
      <c r="A15" s="46" t="s">
        <v>25</v>
      </c>
      <c r="B15" s="47"/>
    </row>
    <row r="16" spans="1:2" s="22" customFormat="1" ht="10.5" customHeight="1">
      <c r="A16" s="50" t="s">
        <v>26</v>
      </c>
      <c r="B16" s="84">
        <v>100000</v>
      </c>
    </row>
    <row r="17" spans="1:11" s="22" customFormat="1" ht="11.25">
      <c r="A17" s="50" t="s">
        <v>27</v>
      </c>
      <c r="B17" s="84">
        <v>0</v>
      </c>
      <c r="F17" s="87" t="s">
        <v>28</v>
      </c>
      <c r="G17" s="30"/>
      <c r="H17" s="30"/>
      <c r="I17" s="30"/>
      <c r="J17" s="30"/>
      <c r="K17" s="31"/>
    </row>
    <row r="18" spans="1:11" s="22" customFormat="1" ht="11.25">
      <c r="A18" s="50" t="s">
        <v>29</v>
      </c>
      <c r="B18" s="84">
        <v>0</v>
      </c>
      <c r="F18" s="88" t="s">
        <v>30</v>
      </c>
      <c r="G18" s="30"/>
      <c r="H18" s="30"/>
      <c r="I18" s="30"/>
      <c r="J18" s="30"/>
      <c r="K18" s="31"/>
    </row>
    <row r="19" spans="1:11" s="22" customFormat="1" ht="11.25">
      <c r="A19" s="50" t="s">
        <v>31</v>
      </c>
      <c r="B19" s="84">
        <v>0</v>
      </c>
      <c r="F19" s="87" t="s">
        <v>32</v>
      </c>
      <c r="G19" s="31"/>
      <c r="H19" s="31"/>
      <c r="I19" s="31"/>
      <c r="J19" s="31"/>
      <c r="K19" s="31"/>
    </row>
    <row r="20" spans="1:11" s="22" customFormat="1" ht="11.25">
      <c r="A20" s="50" t="s">
        <v>33</v>
      </c>
      <c r="B20" s="46">
        <f>B14-B16-B18-B19</f>
        <v>185000</v>
      </c>
      <c r="F20" s="31"/>
      <c r="G20" s="31"/>
      <c r="H20" s="31"/>
      <c r="I20" s="31"/>
      <c r="J20" s="31"/>
      <c r="K20" s="31"/>
    </row>
    <row r="21" s="7" customFormat="1" ht="11.25">
      <c r="B21" s="8"/>
    </row>
    <row r="22" spans="1:5" s="7" customFormat="1" ht="11.25">
      <c r="A22" s="51" t="s">
        <v>34</v>
      </c>
      <c r="B22" s="52"/>
      <c r="C22" s="52"/>
      <c r="D22" s="52"/>
      <c r="E22" s="52"/>
    </row>
    <row r="23" spans="1:5" s="7" customFormat="1" ht="11.25">
      <c r="A23" s="52"/>
      <c r="B23" s="53" t="s">
        <v>35</v>
      </c>
      <c r="C23" s="53"/>
      <c r="D23" s="53" t="s">
        <v>36</v>
      </c>
      <c r="E23" s="53"/>
    </row>
    <row r="24" spans="1:5" s="22" customFormat="1" ht="11.25">
      <c r="A24" s="50" t="s">
        <v>37</v>
      </c>
      <c r="B24" s="54">
        <v>240</v>
      </c>
      <c r="C24" s="50"/>
      <c r="D24" s="50">
        <v>280</v>
      </c>
      <c r="E24" s="50"/>
    </row>
    <row r="25" spans="1:5" s="22" customFormat="1" ht="11.25">
      <c r="A25" s="50" t="s">
        <v>38</v>
      </c>
      <c r="B25" s="50"/>
      <c r="C25" s="50"/>
      <c r="D25" s="55">
        <f>(D24-B24)/2.4</f>
        <v>16.666666666666668</v>
      </c>
      <c r="E25" s="50"/>
    </row>
    <row r="26" s="7" customFormat="1" ht="11.25"/>
    <row r="27" spans="1:8" s="7" customFormat="1" ht="11.25">
      <c r="A27" s="81" t="s">
        <v>39</v>
      </c>
      <c r="B27" s="51" t="s">
        <v>40</v>
      </c>
      <c r="C27" s="51"/>
      <c r="D27" s="51" t="s">
        <v>41</v>
      </c>
      <c r="E27" s="51"/>
      <c r="F27" s="51" t="s">
        <v>42</v>
      </c>
      <c r="G27" s="52"/>
      <c r="H27" s="51" t="s">
        <v>43</v>
      </c>
    </row>
    <row r="28" spans="1:8" s="22" customFormat="1" ht="11.25">
      <c r="A28" s="50" t="s">
        <v>44</v>
      </c>
      <c r="B28" s="84">
        <v>635</v>
      </c>
      <c r="C28" s="47"/>
      <c r="D28" s="84">
        <v>820</v>
      </c>
      <c r="E28" s="47"/>
      <c r="F28" s="84">
        <v>1160</v>
      </c>
      <c r="G28" s="50"/>
      <c r="H28" s="50"/>
    </row>
    <row r="29" spans="1:8" s="22" customFormat="1" ht="11.25">
      <c r="A29" s="50" t="s">
        <v>45</v>
      </c>
      <c r="B29" s="50">
        <f>B28*13</f>
        <v>8255</v>
      </c>
      <c r="C29" s="50"/>
      <c r="D29" s="50">
        <f>D28*13</f>
        <v>10660</v>
      </c>
      <c r="E29" s="50"/>
      <c r="F29" s="50">
        <f>F28*13</f>
        <v>15080</v>
      </c>
      <c r="G29" s="50"/>
      <c r="H29" s="50">
        <f>SUM(B29:F29)</f>
        <v>33995</v>
      </c>
    </row>
    <row r="30" spans="1:8" s="22" customFormat="1" ht="11.25">
      <c r="A30" s="50" t="s">
        <v>46</v>
      </c>
      <c r="B30" s="84">
        <v>6190</v>
      </c>
      <c r="C30" s="47"/>
      <c r="D30" s="84">
        <v>8520</v>
      </c>
      <c r="E30" s="47"/>
      <c r="F30" s="84">
        <v>13570</v>
      </c>
      <c r="G30" s="50"/>
      <c r="H30" s="50">
        <f>SUM(B30:G30)</f>
        <v>28280</v>
      </c>
    </row>
    <row r="31" spans="1:8" s="22" customFormat="1" ht="11.25">
      <c r="A31" s="50" t="s">
        <v>47</v>
      </c>
      <c r="B31" s="50">
        <f>(B29-B30)/B29*100</f>
        <v>25.015142337976982</v>
      </c>
      <c r="C31" s="50"/>
      <c r="D31" s="50">
        <f>(D29-D30)/D29*100</f>
        <v>20.075046904315197</v>
      </c>
      <c r="E31" s="50"/>
      <c r="F31" s="50">
        <f>(F29-F30)/F29*100</f>
        <v>10.013262599469495</v>
      </c>
      <c r="G31" s="50"/>
      <c r="H31" s="55">
        <f>(H29-H30)/H29*100</f>
        <v>16.811295778791</v>
      </c>
    </row>
    <row r="32" spans="1:8" s="22" customFormat="1" ht="11.25">
      <c r="A32" s="50" t="s">
        <v>48</v>
      </c>
      <c r="B32" s="50"/>
      <c r="C32" s="50"/>
      <c r="D32" s="50"/>
      <c r="E32" s="50"/>
      <c r="F32" s="50"/>
      <c r="G32" s="50"/>
      <c r="H32" s="50">
        <f>D25</f>
        <v>16.666666666666668</v>
      </c>
    </row>
    <row r="33" spans="1:8" s="22" customFormat="1" ht="11.25">
      <c r="A33" s="50" t="s">
        <v>49</v>
      </c>
      <c r="B33" s="50">
        <f>B30/52</f>
        <v>119.03846153846153</v>
      </c>
      <c r="C33" s="50"/>
      <c r="D33" s="50">
        <f>D30/52</f>
        <v>163.84615384615384</v>
      </c>
      <c r="E33" s="50"/>
      <c r="F33" s="50">
        <f>F30/52</f>
        <v>260.96153846153845</v>
      </c>
      <c r="G33" s="50"/>
      <c r="H33" s="50"/>
    </row>
    <row r="34" spans="1:8" s="22" customFormat="1" ht="11.25">
      <c r="A34" s="50" t="s">
        <v>50</v>
      </c>
      <c r="B34" s="50">
        <f>B33*1.0775</f>
        <v>128.2639423076923</v>
      </c>
      <c r="C34" s="50"/>
      <c r="D34" s="50">
        <f>D33*1.0775</f>
        <v>176.54423076923075</v>
      </c>
      <c r="E34" s="50"/>
      <c r="F34" s="54">
        <f>F33*1.0775</f>
        <v>281.18605769230766</v>
      </c>
      <c r="G34" s="50"/>
      <c r="H34" s="50"/>
    </row>
    <row r="35" spans="1:8" s="22" customFormat="1" ht="11.25">
      <c r="A35" s="50" t="s">
        <v>51</v>
      </c>
      <c r="B35" s="55">
        <f>B30/13</f>
        <v>476.15384615384613</v>
      </c>
      <c r="C35" s="55"/>
      <c r="D35" s="55">
        <f>D30/13</f>
        <v>655.3846153846154</v>
      </c>
      <c r="E35" s="55"/>
      <c r="F35" s="55">
        <f>F30/13</f>
        <v>1043.8461538461538</v>
      </c>
      <c r="G35" s="50"/>
      <c r="H35" s="50"/>
    </row>
    <row r="36" spans="2:6" s="7" customFormat="1" ht="11.25">
      <c r="B36" s="9"/>
      <c r="C36" s="9"/>
      <c r="D36" s="9"/>
      <c r="E36" s="9"/>
      <c r="F36" s="11"/>
    </row>
    <row r="37" spans="1:8" s="22" customFormat="1" ht="11.25">
      <c r="A37" s="55" t="s">
        <v>52</v>
      </c>
      <c r="B37" s="55"/>
      <c r="C37" s="55"/>
      <c r="D37" s="55" t="s">
        <v>53</v>
      </c>
      <c r="E37" s="55"/>
      <c r="F37" s="55" t="s">
        <v>54</v>
      </c>
      <c r="G37" s="50"/>
      <c r="H37" s="46" t="s">
        <v>55</v>
      </c>
    </row>
    <row r="38" spans="1:8" s="22" customFormat="1" ht="11.25">
      <c r="A38" s="50" t="s">
        <v>56</v>
      </c>
      <c r="B38" s="84">
        <v>7000</v>
      </c>
      <c r="C38" s="55"/>
      <c r="D38" s="55"/>
      <c r="E38" s="55"/>
      <c r="F38" s="55"/>
      <c r="G38" s="50"/>
      <c r="H38" s="50"/>
    </row>
    <row r="39" spans="1:8" s="22" customFormat="1" ht="11.25">
      <c r="A39" s="50" t="s">
        <v>57</v>
      </c>
      <c r="B39" s="50">
        <f>B38*13</f>
        <v>91000</v>
      </c>
      <c r="C39" s="55"/>
      <c r="D39" s="55"/>
      <c r="E39" s="55"/>
      <c r="F39" s="55"/>
      <c r="G39" s="50"/>
      <c r="H39" s="50"/>
    </row>
    <row r="40" spans="1:8" s="22" customFormat="1" ht="11.25">
      <c r="A40" s="50" t="s">
        <v>58</v>
      </c>
      <c r="B40" s="50">
        <f>B39*0.2</f>
        <v>18200</v>
      </c>
      <c r="C40" s="55"/>
      <c r="D40" s="55"/>
      <c r="E40" s="55"/>
      <c r="F40" s="55"/>
      <c r="G40" s="50"/>
      <c r="H40" s="50"/>
    </row>
    <row r="41" spans="1:8" s="22" customFormat="1" ht="11.25">
      <c r="A41" s="50" t="s">
        <v>59</v>
      </c>
      <c r="B41" s="55">
        <f>SUM(B39:B40)</f>
        <v>109200</v>
      </c>
      <c r="C41" s="55"/>
      <c r="D41" s="56">
        <f>(B41*B42)/100</f>
        <v>65520</v>
      </c>
      <c r="E41" s="55"/>
      <c r="F41" s="56">
        <f>(B41*B43)/100</f>
        <v>87360</v>
      </c>
      <c r="G41" s="50"/>
      <c r="H41" s="56">
        <f>B41</f>
        <v>109200</v>
      </c>
    </row>
    <row r="42" spans="1:8" s="22" customFormat="1" ht="11.25">
      <c r="A42" s="50" t="s">
        <v>60</v>
      </c>
      <c r="B42" s="84">
        <v>60</v>
      </c>
      <c r="C42" s="55"/>
      <c r="D42" s="55"/>
      <c r="E42" s="55"/>
      <c r="F42" s="55"/>
      <c r="G42" s="50"/>
      <c r="H42" s="50"/>
    </row>
    <row r="43" spans="1:8" s="22" customFormat="1" ht="11.25">
      <c r="A43" s="50" t="s">
        <v>61</v>
      </c>
      <c r="B43" s="84">
        <v>80</v>
      </c>
      <c r="C43" s="55"/>
      <c r="D43" s="55"/>
      <c r="E43" s="55"/>
      <c r="F43" s="55"/>
      <c r="G43" s="50"/>
      <c r="H43" s="50"/>
    </row>
    <row r="44" spans="1:8" s="22" customFormat="1" ht="11.25">
      <c r="A44" s="50" t="s">
        <v>62</v>
      </c>
      <c r="B44" s="84">
        <v>100</v>
      </c>
      <c r="C44" s="55"/>
      <c r="D44" s="55"/>
      <c r="E44" s="55"/>
      <c r="F44" s="55"/>
      <c r="G44" s="50"/>
      <c r="H44" s="50"/>
    </row>
    <row r="45" spans="1:8" s="22" customFormat="1" ht="11.25">
      <c r="A45" s="50" t="s">
        <v>63</v>
      </c>
      <c r="B45" s="50">
        <f>D34*52</f>
        <v>9180.3</v>
      </c>
      <c r="C45" s="55"/>
      <c r="D45" s="56">
        <f>B45/2</f>
        <v>4590.15</v>
      </c>
      <c r="E45" s="55"/>
      <c r="F45" s="56">
        <f>B45</f>
        <v>9180.3</v>
      </c>
      <c r="G45" s="50"/>
      <c r="H45" s="50">
        <f>B45</f>
        <v>9180.3</v>
      </c>
    </row>
    <row r="46" spans="1:8" s="22" customFormat="1" ht="11.25">
      <c r="A46" s="50" t="s">
        <v>64</v>
      </c>
      <c r="B46" s="55">
        <f>B41+B45</f>
        <v>118380.3</v>
      </c>
      <c r="C46" s="55"/>
      <c r="D46" s="55">
        <f>SUM(D41:D45)</f>
        <v>70110.15</v>
      </c>
      <c r="E46" s="55"/>
      <c r="F46" s="55">
        <f>SUM(F41:F45)</f>
        <v>96540.3</v>
      </c>
      <c r="G46" s="50"/>
      <c r="H46" s="46">
        <f>SUM(H41:H45)</f>
        <v>118380.3</v>
      </c>
    </row>
    <row r="47" spans="2:6" s="7" customFormat="1" ht="11.25">
      <c r="B47" s="11"/>
      <c r="C47" s="9"/>
      <c r="D47" s="9"/>
      <c r="E47" s="9"/>
      <c r="F47" s="11"/>
    </row>
    <row r="48" spans="1:8" s="22" customFormat="1" ht="11.25">
      <c r="A48" s="55" t="s">
        <v>65</v>
      </c>
      <c r="B48" s="55"/>
      <c r="C48" s="55"/>
      <c r="D48" s="58" t="s">
        <v>18</v>
      </c>
      <c r="E48" s="58"/>
      <c r="F48" s="58" t="s">
        <v>19</v>
      </c>
      <c r="G48" s="59"/>
      <c r="H48" s="60" t="s">
        <v>21</v>
      </c>
    </row>
    <row r="49" spans="1:8" s="22" customFormat="1" ht="11.25">
      <c r="A49" s="50" t="s">
        <v>66</v>
      </c>
      <c r="B49" s="86">
        <v>12000</v>
      </c>
      <c r="C49" s="55"/>
      <c r="D49" s="55"/>
      <c r="E49" s="55"/>
      <c r="F49" s="55"/>
      <c r="G49" s="50"/>
      <c r="H49" s="50"/>
    </row>
    <row r="50" spans="1:8" s="22" customFormat="1" ht="11.25">
      <c r="A50" s="50" t="s">
        <v>67</v>
      </c>
      <c r="B50" s="84">
        <v>12000</v>
      </c>
      <c r="C50" s="55"/>
      <c r="D50" s="55"/>
      <c r="E50" s="55"/>
      <c r="F50" s="55"/>
      <c r="G50" s="50"/>
      <c r="H50" s="50"/>
    </row>
    <row r="51" spans="1:8" s="22" customFormat="1" ht="11.25">
      <c r="A51" s="50" t="s">
        <v>68</v>
      </c>
      <c r="B51" s="84">
        <v>20000</v>
      </c>
      <c r="C51" s="55"/>
      <c r="D51" s="55"/>
      <c r="E51" s="55"/>
      <c r="F51" s="55"/>
      <c r="G51" s="50"/>
      <c r="H51" s="50"/>
    </row>
    <row r="52" spans="1:8" s="22" customFormat="1" ht="11.25">
      <c r="A52" s="50" t="s">
        <v>69</v>
      </c>
      <c r="B52" s="84">
        <v>20000</v>
      </c>
      <c r="C52" s="55"/>
      <c r="D52" s="55"/>
      <c r="E52" s="55"/>
      <c r="F52" s="55"/>
      <c r="G52" s="50"/>
      <c r="H52" s="50"/>
    </row>
    <row r="53" spans="1:8" s="22" customFormat="1" ht="11.25">
      <c r="A53" s="50" t="s">
        <v>70</v>
      </c>
      <c r="B53" s="55">
        <f>SUM(B49:B52)</f>
        <v>64000</v>
      </c>
      <c r="C53" s="55"/>
      <c r="D53" s="55">
        <f>B53*B54/100</f>
        <v>51200</v>
      </c>
      <c r="E53" s="55"/>
      <c r="F53" s="55">
        <f>B53*B55/100</f>
        <v>57600</v>
      </c>
      <c r="G53" s="50"/>
      <c r="H53" s="46">
        <f>B53</f>
        <v>64000</v>
      </c>
    </row>
    <row r="54" spans="1:8" s="22" customFormat="1" ht="11.25">
      <c r="A54" s="50" t="s">
        <v>71</v>
      </c>
      <c r="B54" s="84">
        <v>80</v>
      </c>
      <c r="C54" s="55"/>
      <c r="D54" s="55"/>
      <c r="E54" s="55"/>
      <c r="F54" s="55"/>
      <c r="G54" s="50"/>
      <c r="H54" s="50"/>
    </row>
    <row r="55" spans="1:8" s="22" customFormat="1" ht="11.25">
      <c r="A55" s="50" t="s">
        <v>72</v>
      </c>
      <c r="B55" s="84">
        <v>90</v>
      </c>
      <c r="C55" s="55"/>
      <c r="D55" s="55"/>
      <c r="E55" s="55"/>
      <c r="F55" s="55"/>
      <c r="G55" s="50"/>
      <c r="H55" s="50"/>
    </row>
    <row r="56" spans="1:8" s="22" customFormat="1" ht="11.25">
      <c r="A56" s="50" t="s">
        <v>73</v>
      </c>
      <c r="B56" s="84">
        <v>100</v>
      </c>
      <c r="C56" s="55"/>
      <c r="D56" s="55"/>
      <c r="E56" s="55"/>
      <c r="F56" s="55"/>
      <c r="G56" s="50"/>
      <c r="H56" s="50"/>
    </row>
    <row r="57" spans="1:8" s="22" customFormat="1" ht="11.25">
      <c r="A57" s="50"/>
      <c r="B57" s="57"/>
      <c r="C57" s="55"/>
      <c r="D57" s="55"/>
      <c r="E57" s="55"/>
      <c r="F57" s="55"/>
      <c r="G57" s="50"/>
      <c r="H57" s="50"/>
    </row>
    <row r="58" spans="2:6" s="22" customFormat="1" ht="11.25">
      <c r="B58" s="37"/>
      <c r="C58" s="23"/>
      <c r="D58" s="23"/>
      <c r="E58" s="23"/>
      <c r="F58" s="23"/>
    </row>
    <row r="59" spans="2:6" s="7" customFormat="1" ht="11.25">
      <c r="B59" s="9"/>
      <c r="C59" s="9"/>
      <c r="D59" s="9"/>
      <c r="E59" s="9"/>
      <c r="F59" s="11"/>
    </row>
    <row r="60" spans="1:6" s="7" customFormat="1" ht="11.25">
      <c r="A60" s="51" t="s">
        <v>74</v>
      </c>
      <c r="B60" s="51"/>
      <c r="C60" s="51"/>
      <c r="D60" s="51"/>
      <c r="E60" s="51"/>
      <c r="F60" s="61"/>
    </row>
    <row r="61" spans="1:6" s="7" customFormat="1" ht="11.25">
      <c r="A61" s="52" t="s">
        <v>75</v>
      </c>
      <c r="B61" s="51"/>
      <c r="C61" s="51"/>
      <c r="D61" s="51"/>
      <c r="E61" s="51"/>
      <c r="F61" s="61"/>
    </row>
    <row r="62" spans="1:6" s="7" customFormat="1" ht="11.25">
      <c r="A62" s="52"/>
      <c r="B62" s="51"/>
      <c r="C62" s="51"/>
      <c r="D62" s="51"/>
      <c r="E62" s="51"/>
      <c r="F62" s="61"/>
    </row>
    <row r="63" spans="1:6" s="7" customFormat="1" ht="11.25">
      <c r="A63" s="52"/>
      <c r="B63" s="51" t="s">
        <v>76</v>
      </c>
      <c r="C63" s="51"/>
      <c r="D63" s="51" t="s">
        <v>77</v>
      </c>
      <c r="E63" s="51"/>
      <c r="F63" s="61"/>
    </row>
    <row r="64" spans="1:6" s="7" customFormat="1" ht="11.25">
      <c r="A64" s="52"/>
      <c r="B64" s="52" t="s">
        <v>78</v>
      </c>
      <c r="C64" s="51"/>
      <c r="D64" s="52" t="s">
        <v>79</v>
      </c>
      <c r="E64" s="51"/>
      <c r="F64" s="61"/>
    </row>
    <row r="65" spans="1:6" s="22" customFormat="1" ht="11.25">
      <c r="A65" s="50" t="s">
        <v>80</v>
      </c>
      <c r="B65" s="56">
        <f>D29/52</f>
        <v>205</v>
      </c>
      <c r="C65" s="55"/>
      <c r="D65" s="56">
        <f>F29/52</f>
        <v>290</v>
      </c>
      <c r="E65" s="55"/>
      <c r="F65" s="55"/>
    </row>
    <row r="66" spans="1:6" s="22" customFormat="1" ht="11.25">
      <c r="A66" s="50" t="s">
        <v>81</v>
      </c>
      <c r="B66" s="50">
        <f>B65*1.33</f>
        <v>272.65000000000003</v>
      </c>
      <c r="C66" s="55"/>
      <c r="D66" s="50">
        <f>D65*1.33</f>
        <v>385.70000000000005</v>
      </c>
      <c r="E66" s="55"/>
      <c r="F66" s="55"/>
    </row>
    <row r="67" spans="1:6" s="22" customFormat="1" ht="11.25">
      <c r="A67" s="50" t="s">
        <v>82</v>
      </c>
      <c r="B67" s="50">
        <f>B66*0.0775</f>
        <v>21.130375</v>
      </c>
      <c r="C67" s="50"/>
      <c r="D67" s="50">
        <f>D66*0.0775</f>
        <v>29.891750000000002</v>
      </c>
      <c r="E67" s="55"/>
      <c r="F67" s="55"/>
    </row>
    <row r="68" spans="1:6" s="22" customFormat="1" ht="11.25">
      <c r="A68" s="50" t="s">
        <v>83</v>
      </c>
      <c r="B68" s="50">
        <f>B66*B7</f>
        <v>27.265000000000004</v>
      </c>
      <c r="C68" s="50"/>
      <c r="D68" s="50">
        <f>D66*B7</f>
        <v>38.57000000000001</v>
      </c>
      <c r="E68" s="55"/>
      <c r="F68" s="55"/>
    </row>
    <row r="69" spans="1:6" s="22" customFormat="1" ht="11.25">
      <c r="A69" s="50" t="s">
        <v>84</v>
      </c>
      <c r="B69" s="50">
        <f>B66*0.12</f>
        <v>32.718</v>
      </c>
      <c r="C69" s="50"/>
      <c r="D69" s="50">
        <f>D66*0.12</f>
        <v>46.284000000000006</v>
      </c>
      <c r="E69" s="50"/>
      <c r="F69" s="50"/>
    </row>
    <row r="70" spans="1:6" s="22" customFormat="1" ht="11.25">
      <c r="A70" s="50" t="s">
        <v>85</v>
      </c>
      <c r="B70" s="55">
        <f>SUM(B66:B69)</f>
        <v>353.76337500000005</v>
      </c>
      <c r="C70" s="55"/>
      <c r="D70" s="55">
        <f>SUM(D66:D69)</f>
        <v>500.44575000000003</v>
      </c>
      <c r="E70" s="50"/>
      <c r="F70" s="50"/>
    </row>
    <row r="71" spans="1:6" s="22" customFormat="1" ht="11.25">
      <c r="A71" s="44"/>
      <c r="B71" s="45"/>
      <c r="C71" s="45"/>
      <c r="D71" s="45"/>
      <c r="E71" s="44"/>
      <c r="F71" s="44"/>
    </row>
    <row r="72" spans="1:4" s="22" customFormat="1" ht="12.75">
      <c r="A72" s="62" t="s">
        <v>86</v>
      </c>
      <c r="B72" s="55"/>
      <c r="C72" s="55"/>
      <c r="D72" s="55"/>
    </row>
    <row r="73" spans="1:4" s="22" customFormat="1" ht="11.25">
      <c r="A73" s="50" t="s">
        <v>87</v>
      </c>
      <c r="B73" s="55"/>
      <c r="C73" s="55"/>
      <c r="D73" s="55"/>
    </row>
    <row r="74" spans="1:4" s="22" customFormat="1" ht="11.25">
      <c r="A74" s="50"/>
      <c r="B74" s="55"/>
      <c r="C74" s="55"/>
      <c r="D74" s="55"/>
    </row>
    <row r="75" spans="1:4" s="22" customFormat="1" ht="11.25">
      <c r="A75" s="50" t="s">
        <v>88</v>
      </c>
      <c r="B75" s="84">
        <v>5</v>
      </c>
      <c r="C75" s="55"/>
      <c r="D75" s="55"/>
    </row>
    <row r="76" spans="1:4" s="22" customFormat="1" ht="11.25">
      <c r="A76" s="50" t="s">
        <v>89</v>
      </c>
      <c r="B76" s="56">
        <f>D41/12*B75</f>
        <v>27300</v>
      </c>
      <c r="C76" s="55"/>
      <c r="D76" s="55"/>
    </row>
    <row r="77" spans="1:4" s="22" customFormat="1" ht="11.25">
      <c r="A77" s="50" t="s">
        <v>90</v>
      </c>
      <c r="B77" s="56">
        <f>D53/12*B75</f>
        <v>21333.333333333336</v>
      </c>
      <c r="C77" s="55"/>
      <c r="D77" s="55"/>
    </row>
    <row r="78" spans="1:4" s="22" customFormat="1" ht="11.25">
      <c r="A78" s="50" t="s">
        <v>91</v>
      </c>
      <c r="B78" s="55">
        <f>SUM(B76:B77)</f>
        <v>48633.333333333336</v>
      </c>
      <c r="C78" s="55"/>
      <c r="D78" s="55"/>
    </row>
    <row r="79" spans="1:4" s="22" customFormat="1" ht="11.25">
      <c r="A79" s="50" t="s">
        <v>92</v>
      </c>
      <c r="B79" s="56">
        <f>B10</f>
        <v>50000</v>
      </c>
      <c r="C79" s="55"/>
      <c r="D79" s="55"/>
    </row>
    <row r="80" spans="1:4" s="22" customFormat="1" ht="11.25">
      <c r="A80" s="50" t="s">
        <v>93</v>
      </c>
      <c r="B80" s="55">
        <f>B79-B78</f>
        <v>1366.6666666666642</v>
      </c>
      <c r="C80" s="55"/>
      <c r="D80" s="55"/>
    </row>
    <row r="81" s="7" customFormat="1" ht="11.25"/>
    <row r="82" spans="1:11" s="5" customFormat="1" ht="12.75">
      <c r="A82" s="63" t="s">
        <v>94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s="7" customFormat="1" ht="11.25">
      <c r="A83" s="52" t="s">
        <v>95</v>
      </c>
      <c r="B83" s="51"/>
      <c r="C83" s="52"/>
      <c r="D83" s="51"/>
      <c r="E83" s="52"/>
      <c r="F83" s="52"/>
      <c r="G83" s="52"/>
      <c r="H83" s="52"/>
      <c r="I83" s="52"/>
      <c r="J83" s="52"/>
      <c r="K83" s="52"/>
    </row>
    <row r="84" spans="1:11" s="7" customFormat="1" ht="11.2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3" s="9" customFormat="1" ht="11.25">
      <c r="A85" s="51" t="s">
        <v>96</v>
      </c>
      <c r="B85" s="51" t="s">
        <v>97</v>
      </c>
      <c r="C85" s="51"/>
      <c r="D85" s="51" t="s">
        <v>98</v>
      </c>
      <c r="E85" s="51"/>
      <c r="F85" s="51" t="s">
        <v>99</v>
      </c>
      <c r="G85" s="51"/>
      <c r="H85" s="51"/>
      <c r="I85" s="51" t="s">
        <v>100</v>
      </c>
      <c r="J85" s="51"/>
      <c r="K85" s="51" t="s">
        <v>101</v>
      </c>
      <c r="M85" s="20"/>
    </row>
    <row r="86" spans="1:13" s="7" customFormat="1" ht="11.25">
      <c r="A86" s="51"/>
      <c r="B86" s="52"/>
      <c r="C86" s="52"/>
      <c r="D86" s="52"/>
      <c r="E86" s="52"/>
      <c r="F86" s="52"/>
      <c r="G86" s="52"/>
      <c r="H86" s="52"/>
      <c r="I86" s="52" t="s">
        <v>102</v>
      </c>
      <c r="J86" s="52"/>
      <c r="K86" s="52"/>
      <c r="M86" s="19"/>
    </row>
    <row r="87" spans="1:13" s="22" customFormat="1" ht="11.25">
      <c r="A87" s="50" t="s">
        <v>103</v>
      </c>
      <c r="B87" s="65" t="s">
        <v>104</v>
      </c>
      <c r="C87" s="50"/>
      <c r="D87" s="59">
        <v>26</v>
      </c>
      <c r="E87" s="50"/>
      <c r="F87" s="50">
        <f>D87*B34</f>
        <v>3334.8624999999997</v>
      </c>
      <c r="G87" s="50"/>
      <c r="H87" s="50"/>
      <c r="I87" s="59">
        <v>0</v>
      </c>
      <c r="J87" s="50"/>
      <c r="K87" s="50">
        <f>I87*B70</f>
        <v>0</v>
      </c>
      <c r="M87" s="24"/>
    </row>
    <row r="88" spans="1:14" s="22" customFormat="1" ht="11.25">
      <c r="A88" s="50" t="s">
        <v>105</v>
      </c>
      <c r="B88" s="65" t="s">
        <v>104</v>
      </c>
      <c r="C88" s="50"/>
      <c r="D88" s="59">
        <v>26</v>
      </c>
      <c r="E88" s="50"/>
      <c r="F88" s="50">
        <f>D88*B34</f>
        <v>3334.8624999999997</v>
      </c>
      <c r="G88" s="50"/>
      <c r="H88" s="50"/>
      <c r="I88" s="59">
        <v>21</v>
      </c>
      <c r="J88" s="50"/>
      <c r="K88" s="50">
        <f>I88*B70</f>
        <v>7429.030875000001</v>
      </c>
      <c r="M88" s="24"/>
      <c r="N88" s="24"/>
    </row>
    <row r="89" spans="1:14" s="22" customFormat="1" ht="11.25">
      <c r="A89" s="50" t="s">
        <v>106</v>
      </c>
      <c r="B89" s="65" t="s">
        <v>107</v>
      </c>
      <c r="C89" s="50"/>
      <c r="D89" s="59">
        <v>27</v>
      </c>
      <c r="E89" s="50"/>
      <c r="F89" s="50">
        <f>D89*D34</f>
        <v>4766.694230769231</v>
      </c>
      <c r="G89" s="50"/>
      <c r="H89" s="50"/>
      <c r="I89" s="59">
        <v>24</v>
      </c>
      <c r="J89" s="50"/>
      <c r="K89" s="50">
        <f>I89*B70</f>
        <v>8490.321000000002</v>
      </c>
      <c r="M89" s="24"/>
      <c r="N89" s="24"/>
    </row>
    <row r="90" spans="1:14" s="22" customFormat="1" ht="11.25">
      <c r="A90" s="50" t="s">
        <v>108</v>
      </c>
      <c r="B90" s="65" t="s">
        <v>107</v>
      </c>
      <c r="C90" s="50"/>
      <c r="D90" s="59">
        <v>14</v>
      </c>
      <c r="E90" s="50"/>
      <c r="F90" s="50">
        <f>D90*D34</f>
        <v>2471.6192307692304</v>
      </c>
      <c r="G90" s="50"/>
      <c r="H90" s="50"/>
      <c r="I90" s="59">
        <v>0</v>
      </c>
      <c r="J90" s="50"/>
      <c r="K90" s="50">
        <f>I90*B70</f>
        <v>0</v>
      </c>
      <c r="M90" s="24"/>
      <c r="N90" s="24"/>
    </row>
    <row r="91" spans="1:14" s="22" customFormat="1" ht="11.25">
      <c r="A91" s="50" t="s">
        <v>109</v>
      </c>
      <c r="B91" s="65" t="s">
        <v>107</v>
      </c>
      <c r="C91" s="50"/>
      <c r="D91" s="59">
        <v>11</v>
      </c>
      <c r="E91" s="50"/>
      <c r="F91" s="50">
        <f>D91*D34</f>
        <v>1941.9865384615382</v>
      </c>
      <c r="G91" s="50"/>
      <c r="H91" s="50"/>
      <c r="I91" s="59">
        <v>8</v>
      </c>
      <c r="J91" s="50"/>
      <c r="K91" s="50">
        <f>I91*D70</f>
        <v>4003.5660000000003</v>
      </c>
      <c r="M91" s="24"/>
      <c r="N91" s="24"/>
    </row>
    <row r="92" spans="1:14" s="22" customFormat="1" ht="11.25">
      <c r="A92" s="50" t="s">
        <v>110</v>
      </c>
      <c r="B92" s="65" t="s">
        <v>111</v>
      </c>
      <c r="C92" s="50"/>
      <c r="D92" s="59">
        <v>45</v>
      </c>
      <c r="E92" s="50"/>
      <c r="F92" s="50">
        <f>D92*F34</f>
        <v>12653.372596153844</v>
      </c>
      <c r="G92" s="50"/>
      <c r="H92" s="50"/>
      <c r="I92" s="59">
        <v>38</v>
      </c>
      <c r="J92" s="50"/>
      <c r="K92" s="50">
        <f>I92*D70</f>
        <v>19016.9385</v>
      </c>
      <c r="M92" s="24"/>
      <c r="N92" s="24"/>
    </row>
    <row r="93" spans="1:14" s="22" customFormat="1" ht="11.25">
      <c r="A93" s="50" t="s">
        <v>112</v>
      </c>
      <c r="B93" s="65" t="s">
        <v>111</v>
      </c>
      <c r="C93" s="50"/>
      <c r="D93" s="59">
        <v>7</v>
      </c>
      <c r="E93" s="50"/>
      <c r="F93" s="50">
        <f>D93*F34</f>
        <v>1968.3024038461535</v>
      </c>
      <c r="G93" s="50"/>
      <c r="H93" s="50"/>
      <c r="I93" s="59">
        <v>0</v>
      </c>
      <c r="J93" s="50"/>
      <c r="K93" s="50">
        <f>I93*D70</f>
        <v>0</v>
      </c>
      <c r="M93" s="24"/>
      <c r="N93" s="24"/>
    </row>
    <row r="94" spans="1:14" s="22" customFormat="1" ht="11.25">
      <c r="A94" s="50" t="s">
        <v>113</v>
      </c>
      <c r="B94" s="65"/>
      <c r="C94" s="50"/>
      <c r="D94" s="59">
        <f>SUM(D87:D93)</f>
        <v>156</v>
      </c>
      <c r="E94" s="50"/>
      <c r="F94" s="55">
        <f>SUM(F87:F93)</f>
        <v>30471.699999999997</v>
      </c>
      <c r="G94" s="50"/>
      <c r="H94" s="50"/>
      <c r="I94" s="59">
        <f>SUM(I87:I93)</f>
        <v>91</v>
      </c>
      <c r="J94" s="50"/>
      <c r="K94" s="55">
        <f>SUM(K87:K93)</f>
        <v>38939.856375</v>
      </c>
      <c r="M94" s="24"/>
      <c r="N94" s="24"/>
    </row>
    <row r="95" spans="1:11" s="22" customFormat="1" ht="11.25">
      <c r="A95" s="55" t="s">
        <v>114</v>
      </c>
      <c r="B95" s="65"/>
      <c r="C95" s="50"/>
      <c r="D95" s="59"/>
      <c r="E95" s="50"/>
      <c r="F95" s="55">
        <f>F94*B6</f>
        <v>700849.1</v>
      </c>
      <c r="G95" s="50"/>
      <c r="H95" s="50"/>
      <c r="I95" s="59"/>
      <c r="J95" s="50"/>
      <c r="K95" s="55">
        <f>K94*B6</f>
        <v>895616.6966250001</v>
      </c>
    </row>
    <row r="96" spans="2:11" s="7" customFormat="1" ht="11.25">
      <c r="B96" s="12"/>
      <c r="D96" s="13"/>
      <c r="F96" s="11"/>
      <c r="I96" s="13"/>
      <c r="K96" s="11"/>
    </row>
    <row r="97" spans="1:11" s="22" customFormat="1" ht="11.25">
      <c r="A97" s="55" t="s">
        <v>115</v>
      </c>
      <c r="B97" s="65"/>
      <c r="D97" s="25"/>
      <c r="F97" s="23"/>
      <c r="I97" s="25"/>
      <c r="K97" s="23"/>
    </row>
    <row r="98" spans="1:9" s="22" customFormat="1" ht="11.25">
      <c r="A98" s="50" t="s">
        <v>99</v>
      </c>
      <c r="B98" s="66">
        <f>F95</f>
        <v>700849.1</v>
      </c>
      <c r="D98" s="25"/>
      <c r="I98" s="25"/>
    </row>
    <row r="99" spans="1:9" s="22" customFormat="1" ht="11.25">
      <c r="A99" s="50" t="s">
        <v>89</v>
      </c>
      <c r="B99" s="66">
        <f>B46</f>
        <v>118380.3</v>
      </c>
      <c r="D99" s="25"/>
      <c r="I99" s="25"/>
    </row>
    <row r="100" spans="1:9" s="22" customFormat="1" ht="11.25">
      <c r="A100" s="50" t="s">
        <v>90</v>
      </c>
      <c r="B100" s="66">
        <f>B53</f>
        <v>64000</v>
      </c>
      <c r="D100" s="25"/>
      <c r="I100" s="25"/>
    </row>
    <row r="101" spans="1:9" s="22" customFormat="1" ht="11.25">
      <c r="A101" s="50" t="s">
        <v>116</v>
      </c>
      <c r="B101" s="67">
        <f>SUM(B98:B100)</f>
        <v>883229.4</v>
      </c>
      <c r="D101" s="25"/>
      <c r="I101" s="25"/>
    </row>
    <row r="102" spans="1:9" s="22" customFormat="1" ht="11.25">
      <c r="A102" s="50" t="s">
        <v>117</v>
      </c>
      <c r="B102" s="67">
        <f>K95</f>
        <v>895616.6966250001</v>
      </c>
      <c r="D102" s="25"/>
      <c r="I102" s="25"/>
    </row>
    <row r="103" spans="1:9" s="22" customFormat="1" ht="11.25">
      <c r="A103" s="50" t="s">
        <v>118</v>
      </c>
      <c r="B103" s="67">
        <f>B102-B101</f>
        <v>12387.296625000075</v>
      </c>
      <c r="D103" s="25"/>
      <c r="I103" s="25"/>
    </row>
    <row r="104" spans="2:11" s="7" customFormat="1" ht="11.25">
      <c r="B104" s="14"/>
      <c r="D104" s="13"/>
      <c r="F104" s="10"/>
      <c r="I104" s="13"/>
      <c r="K104" s="10"/>
    </row>
    <row r="105" spans="1:13" s="4" customFormat="1" ht="12.75">
      <c r="A105" s="15"/>
      <c r="B105" s="16"/>
      <c r="C105" s="3"/>
      <c r="D105" s="17"/>
      <c r="E105" s="3"/>
      <c r="F105" s="18"/>
      <c r="G105" s="3"/>
      <c r="H105" s="3"/>
      <c r="I105" s="17"/>
      <c r="J105" s="3"/>
      <c r="K105" s="18"/>
      <c r="L105" s="3"/>
      <c r="M105" s="3"/>
    </row>
    <row r="106" spans="1:13" s="4" customFormat="1" ht="12.75">
      <c r="A106" s="68" t="s">
        <v>119</v>
      </c>
      <c r="B106" s="69"/>
      <c r="C106" s="70"/>
      <c r="D106" s="71"/>
      <c r="E106" s="70"/>
      <c r="F106" s="72"/>
      <c r="G106" s="70"/>
      <c r="H106" s="70"/>
      <c r="I106" s="71"/>
      <c r="J106" s="70"/>
      <c r="K106" s="72"/>
      <c r="L106" s="70"/>
      <c r="M106" s="70"/>
    </row>
    <row r="107" spans="1:13" s="3" customFormat="1" ht="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3" s="22" customFormat="1" ht="11.25">
      <c r="A108" s="73" t="s">
        <v>120</v>
      </c>
      <c r="B108" s="74" t="s">
        <v>104</v>
      </c>
      <c r="C108" s="74" t="s">
        <v>107</v>
      </c>
      <c r="D108" s="74" t="s">
        <v>111</v>
      </c>
      <c r="E108" s="74" t="s">
        <v>121</v>
      </c>
      <c r="F108" s="74" t="s">
        <v>122</v>
      </c>
      <c r="G108" s="74" t="s">
        <v>123</v>
      </c>
      <c r="H108" s="74" t="s">
        <v>124</v>
      </c>
      <c r="I108" s="74" t="s">
        <v>125</v>
      </c>
      <c r="J108" s="74" t="s">
        <v>126</v>
      </c>
      <c r="K108" s="74" t="s">
        <v>127</v>
      </c>
      <c r="L108" s="74" t="s">
        <v>128</v>
      </c>
      <c r="M108" s="74" t="s">
        <v>129</v>
      </c>
    </row>
    <row r="109" spans="1:13" s="22" customFormat="1" ht="11.25">
      <c r="A109" s="55" t="s">
        <v>130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s="22" customFormat="1" ht="11.25">
      <c r="A110" s="50" t="s">
        <v>99</v>
      </c>
      <c r="B110" s="50">
        <f>B34*B6*52/12</f>
        <v>12783.639583333332</v>
      </c>
      <c r="C110" s="50">
        <f>B34*B6*52/12</f>
        <v>12783.639583333332</v>
      </c>
      <c r="D110" s="50">
        <f>B34*B6*52/12</f>
        <v>12783.639583333332</v>
      </c>
      <c r="E110" s="50">
        <f>B34*B6*52/12</f>
        <v>12783.639583333332</v>
      </c>
      <c r="F110" s="50">
        <f>B34*B6*52/12</f>
        <v>12783.639583333332</v>
      </c>
      <c r="G110" s="50">
        <f>B34*B6*52/12</f>
        <v>12783.639583333332</v>
      </c>
      <c r="H110" s="50">
        <f>B34*B6*52/12</f>
        <v>12783.639583333332</v>
      </c>
      <c r="I110" s="50">
        <f>B34*B6*52/12</f>
        <v>12783.639583333332</v>
      </c>
      <c r="J110" s="50">
        <f>B34*B6*52/12</f>
        <v>12783.639583333332</v>
      </c>
      <c r="K110" s="50">
        <f>B34*B6*52/12</f>
        <v>12783.639583333332</v>
      </c>
      <c r="L110" s="50">
        <f>B34*B6*52/12</f>
        <v>12783.639583333332</v>
      </c>
      <c r="M110" s="50">
        <f>B34*B6*52/12</f>
        <v>12783.639583333332</v>
      </c>
    </row>
    <row r="111" spans="1:13" s="22" customFormat="1" ht="12" customHeight="1">
      <c r="A111" s="50" t="s">
        <v>89</v>
      </c>
      <c r="B111" s="50">
        <f>D46/12</f>
        <v>5842.5125</v>
      </c>
      <c r="C111" s="50">
        <f>B111</f>
        <v>5842.5125</v>
      </c>
      <c r="D111" s="50">
        <f>B111</f>
        <v>5842.5125</v>
      </c>
      <c r="E111" s="50">
        <f>B111</f>
        <v>5842.5125</v>
      </c>
      <c r="F111" s="50">
        <f>B111</f>
        <v>5842.5125</v>
      </c>
      <c r="G111" s="50">
        <f>B111</f>
        <v>5842.5125</v>
      </c>
      <c r="H111" s="50">
        <f>B111</f>
        <v>5842.5125</v>
      </c>
      <c r="I111" s="50">
        <f>B111</f>
        <v>5842.5125</v>
      </c>
      <c r="J111" s="50">
        <f>B111</f>
        <v>5842.5125</v>
      </c>
      <c r="K111" s="50">
        <f>B111</f>
        <v>5842.5125</v>
      </c>
      <c r="L111" s="50">
        <f>B111</f>
        <v>5842.5125</v>
      </c>
      <c r="M111" s="50">
        <f>B111</f>
        <v>5842.5125</v>
      </c>
    </row>
    <row r="112" spans="1:13" s="22" customFormat="1" ht="11.25">
      <c r="A112" s="50" t="s">
        <v>90</v>
      </c>
      <c r="B112" s="50">
        <f>D53/12</f>
        <v>4266.666666666667</v>
      </c>
      <c r="C112" s="50">
        <f>D53/12</f>
        <v>4266.666666666667</v>
      </c>
      <c r="D112" s="50">
        <f>D53/12</f>
        <v>4266.666666666667</v>
      </c>
      <c r="E112" s="50">
        <f>D53/12</f>
        <v>4266.666666666667</v>
      </c>
      <c r="F112" s="50">
        <f>D53/12</f>
        <v>4266.666666666667</v>
      </c>
      <c r="G112" s="50">
        <f>D53/12</f>
        <v>4266.666666666667</v>
      </c>
      <c r="H112" s="50">
        <f>D53/12</f>
        <v>4266.666666666667</v>
      </c>
      <c r="I112" s="50">
        <f>D53/12</f>
        <v>4266.666666666667</v>
      </c>
      <c r="J112" s="50">
        <f>D53/12</f>
        <v>4266.666666666667</v>
      </c>
      <c r="K112" s="50">
        <f>D53/12</f>
        <v>4266.666666666667</v>
      </c>
      <c r="L112" s="50">
        <f>D53/12</f>
        <v>4266.666666666667</v>
      </c>
      <c r="M112" s="50">
        <f>D53/12</f>
        <v>4266.666666666667</v>
      </c>
    </row>
    <row r="113" spans="1:13" s="22" customFormat="1" ht="11.25">
      <c r="A113" s="50" t="s">
        <v>131</v>
      </c>
      <c r="B113" s="50">
        <f aca="true" t="shared" si="0" ref="B113:M113">SUM(B110:B112)</f>
        <v>22892.81875</v>
      </c>
      <c r="C113" s="50">
        <f t="shared" si="0"/>
        <v>22892.81875</v>
      </c>
      <c r="D113" s="50">
        <f t="shared" si="0"/>
        <v>22892.81875</v>
      </c>
      <c r="E113" s="50">
        <f t="shared" si="0"/>
        <v>22892.81875</v>
      </c>
      <c r="F113" s="50">
        <f t="shared" si="0"/>
        <v>22892.81875</v>
      </c>
      <c r="G113" s="50">
        <f t="shared" si="0"/>
        <v>22892.81875</v>
      </c>
      <c r="H113" s="50">
        <f t="shared" si="0"/>
        <v>22892.81875</v>
      </c>
      <c r="I113" s="50">
        <f t="shared" si="0"/>
        <v>22892.81875</v>
      </c>
      <c r="J113" s="50">
        <f t="shared" si="0"/>
        <v>22892.81875</v>
      </c>
      <c r="K113" s="50">
        <f t="shared" si="0"/>
        <v>22892.81875</v>
      </c>
      <c r="L113" s="50">
        <f t="shared" si="0"/>
        <v>22892.81875</v>
      </c>
      <c r="M113" s="50">
        <f t="shared" si="0"/>
        <v>22892.81875</v>
      </c>
    </row>
    <row r="114" spans="1:13" s="22" customFormat="1" ht="11.25">
      <c r="A114" s="55" t="s">
        <v>132</v>
      </c>
      <c r="B114" s="50">
        <f>B70*I87*B6/6</f>
        <v>0</v>
      </c>
      <c r="C114" s="50">
        <f>B70*I87*B6/6</f>
        <v>0</v>
      </c>
      <c r="D114" s="50">
        <f>B70*I87*B6/6</f>
        <v>0</v>
      </c>
      <c r="E114" s="50">
        <f>B70*I87*B6/6</f>
        <v>0</v>
      </c>
      <c r="F114" s="50">
        <f>B70*I87*B6/6</f>
        <v>0</v>
      </c>
      <c r="G114" s="50">
        <f>B70*I87*B6/6</f>
        <v>0</v>
      </c>
      <c r="H114" s="50">
        <f>B70*I88*B6/6</f>
        <v>28477.951687500008</v>
      </c>
      <c r="I114" s="50">
        <f>B70*I88*B6/6</f>
        <v>28477.951687500008</v>
      </c>
      <c r="J114" s="50">
        <f>B70*I88*B6/6</f>
        <v>28477.951687500008</v>
      </c>
      <c r="K114" s="50">
        <f>B70*I88*B6/6</f>
        <v>28477.951687500008</v>
      </c>
      <c r="L114" s="50">
        <f>B70*I88*B6/6</f>
        <v>28477.951687500008</v>
      </c>
      <c r="M114" s="50">
        <f>B70*I88*B6/6</f>
        <v>28477.951687500008</v>
      </c>
    </row>
    <row r="115" spans="1:13" s="22" customFormat="1" ht="11.25">
      <c r="A115" s="55" t="s">
        <v>93</v>
      </c>
      <c r="B115" s="50">
        <f aca="true" t="shared" si="1" ref="B115:M115">B114-B113</f>
        <v>-22892.81875</v>
      </c>
      <c r="C115" s="50">
        <f t="shared" si="1"/>
        <v>-22892.81875</v>
      </c>
      <c r="D115" s="50">
        <f t="shared" si="1"/>
        <v>-22892.81875</v>
      </c>
      <c r="E115" s="50">
        <f t="shared" si="1"/>
        <v>-22892.81875</v>
      </c>
      <c r="F115" s="50">
        <f t="shared" si="1"/>
        <v>-22892.81875</v>
      </c>
      <c r="G115" s="50">
        <f t="shared" si="1"/>
        <v>-22892.81875</v>
      </c>
      <c r="H115" s="50">
        <f t="shared" si="1"/>
        <v>5585.13293750001</v>
      </c>
      <c r="I115" s="50">
        <f t="shared" si="1"/>
        <v>5585.13293750001</v>
      </c>
      <c r="J115" s="50">
        <f t="shared" si="1"/>
        <v>5585.13293750001</v>
      </c>
      <c r="K115" s="50">
        <f t="shared" si="1"/>
        <v>5585.13293750001</v>
      </c>
      <c r="L115" s="50">
        <f t="shared" si="1"/>
        <v>5585.13293750001</v>
      </c>
      <c r="M115" s="50">
        <f t="shared" si="1"/>
        <v>5585.13293750001</v>
      </c>
    </row>
    <row r="116" spans="1:13" s="22" customFormat="1" ht="11.25">
      <c r="A116" s="55" t="s">
        <v>133</v>
      </c>
      <c r="B116" s="50">
        <f>B115</f>
        <v>-22892.81875</v>
      </c>
      <c r="C116" s="50">
        <f aca="true" t="shared" si="2" ref="C116:M116">B116+C115</f>
        <v>-45785.6375</v>
      </c>
      <c r="D116" s="50">
        <f t="shared" si="2"/>
        <v>-68678.45624999999</v>
      </c>
      <c r="E116" s="50">
        <f t="shared" si="2"/>
        <v>-91571.275</v>
      </c>
      <c r="F116" s="50">
        <f t="shared" si="2"/>
        <v>-114464.09375</v>
      </c>
      <c r="G116" s="50">
        <f t="shared" si="2"/>
        <v>-137356.9125</v>
      </c>
      <c r="H116" s="50">
        <f t="shared" si="2"/>
        <v>-131771.77956249999</v>
      </c>
      <c r="I116" s="50">
        <f t="shared" si="2"/>
        <v>-126186.64662499998</v>
      </c>
      <c r="J116" s="50">
        <f t="shared" si="2"/>
        <v>-120601.51368749997</v>
      </c>
      <c r="K116" s="50">
        <f t="shared" si="2"/>
        <v>-115016.38074999997</v>
      </c>
      <c r="L116" s="50">
        <f t="shared" si="2"/>
        <v>-109431.24781249996</v>
      </c>
      <c r="M116" s="50">
        <f t="shared" si="2"/>
        <v>-103846.11487499996</v>
      </c>
    </row>
    <row r="117" spans="1:13" s="22" customFormat="1" ht="11.25">
      <c r="A117" s="55" t="s">
        <v>134</v>
      </c>
      <c r="B117" s="50">
        <f>B80</f>
        <v>1366.6666666666642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s="22" customFormat="1" ht="11.25">
      <c r="A118" s="55" t="s">
        <v>135</v>
      </c>
      <c r="B118" s="50">
        <f>B11</f>
        <v>155000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s="22" customFormat="1" ht="11.25">
      <c r="A119" s="55" t="s">
        <v>136</v>
      </c>
      <c r="B119" s="50">
        <f>SUM(B117:B118)</f>
        <v>156366.66666666666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s="22" customFormat="1" ht="11.25">
      <c r="A120" s="55" t="s">
        <v>137</v>
      </c>
      <c r="B120" s="50">
        <f>B118+B116</f>
        <v>132107.18125</v>
      </c>
      <c r="C120" s="50">
        <f>B118+C116</f>
        <v>109214.3625</v>
      </c>
      <c r="D120" s="50">
        <f>B118+D116</f>
        <v>86321.54375000001</v>
      </c>
      <c r="E120" s="50">
        <f>B118+E116</f>
        <v>63428.725000000006</v>
      </c>
      <c r="F120" s="50">
        <f>B118+F116</f>
        <v>40535.90625</v>
      </c>
      <c r="G120" s="50">
        <f>B118+G116</f>
        <v>17643.087499999994</v>
      </c>
      <c r="H120" s="50">
        <f>B118+H116</f>
        <v>23228.220437500015</v>
      </c>
      <c r="I120" s="50">
        <f>B118+I116</f>
        <v>28813.35337500002</v>
      </c>
      <c r="J120" s="50">
        <f>B118+J116</f>
        <v>34398.48631250003</v>
      </c>
      <c r="K120" s="50">
        <f>B118+K116</f>
        <v>39983.61925000003</v>
      </c>
      <c r="L120" s="50">
        <f>B118+L116</f>
        <v>45568.75218750004</v>
      </c>
      <c r="M120" s="50">
        <f>B118+M116</f>
        <v>51153.885125000044</v>
      </c>
    </row>
    <row r="121" spans="1:13" s="28" customFormat="1" ht="12.75">
      <c r="A121" s="27"/>
      <c r="B121" s="27"/>
      <c r="C121" s="27"/>
      <c r="D121" s="27"/>
      <c r="E121" s="27"/>
      <c r="F121" s="27"/>
      <c r="G121" s="27"/>
      <c r="H121" s="22"/>
      <c r="I121" s="27"/>
      <c r="J121" s="27"/>
      <c r="K121" s="27"/>
      <c r="L121" s="27"/>
      <c r="M121" s="27"/>
    </row>
    <row r="122" spans="1:13" s="4" customFormat="1" ht="12.75">
      <c r="A122" s="68" t="s">
        <v>138</v>
      </c>
      <c r="B122" s="69"/>
      <c r="C122" s="70"/>
      <c r="D122" s="71"/>
      <c r="E122" s="70"/>
      <c r="F122" s="72"/>
      <c r="G122" s="70"/>
      <c r="H122" s="70"/>
      <c r="I122" s="71"/>
      <c r="J122" s="70"/>
      <c r="K122" s="72"/>
      <c r="L122" s="70"/>
      <c r="M122" s="70"/>
    </row>
    <row r="123" spans="1:13" s="4" customFormat="1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s="4" customFormat="1" ht="12.75">
      <c r="A124" s="75" t="s">
        <v>120</v>
      </c>
      <c r="B124" s="76" t="s">
        <v>104</v>
      </c>
      <c r="C124" s="76" t="s">
        <v>107</v>
      </c>
      <c r="D124" s="76" t="s">
        <v>111</v>
      </c>
      <c r="E124" s="76" t="s">
        <v>121</v>
      </c>
      <c r="F124" s="76" t="s">
        <v>122</v>
      </c>
      <c r="G124" s="76" t="s">
        <v>123</v>
      </c>
      <c r="H124" s="76" t="s">
        <v>124</v>
      </c>
      <c r="I124" s="76" t="s">
        <v>125</v>
      </c>
      <c r="J124" s="76" t="s">
        <v>126</v>
      </c>
      <c r="K124" s="76" t="s">
        <v>127</v>
      </c>
      <c r="L124" s="76" t="s">
        <v>128</v>
      </c>
      <c r="M124" s="76" t="s">
        <v>129</v>
      </c>
    </row>
    <row r="125" spans="1:13" s="22" customFormat="1" ht="11.25">
      <c r="A125" s="55" t="s">
        <v>139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</row>
    <row r="126" spans="1:13" s="22" customFormat="1" ht="11.25">
      <c r="A126" s="50" t="s">
        <v>140</v>
      </c>
      <c r="B126" s="50">
        <f>B34*B6*52/12</f>
        <v>12783.639583333332</v>
      </c>
      <c r="C126" s="50">
        <f>B34*B6*52/12</f>
        <v>12783.639583333332</v>
      </c>
      <c r="D126" s="50">
        <f>B34*B6*52/12</f>
        <v>12783.639583333332</v>
      </c>
      <c r="E126" s="50">
        <f>B34*B6*52/12</f>
        <v>12783.639583333332</v>
      </c>
      <c r="F126" s="50">
        <f>B34*B6*52/12</f>
        <v>12783.639583333332</v>
      </c>
      <c r="G126" s="50">
        <f>B34*B6*52/12</f>
        <v>12783.639583333332</v>
      </c>
      <c r="H126" s="50">
        <f>B34*B6*52/12</f>
        <v>12783.639583333332</v>
      </c>
      <c r="I126" s="50">
        <f>B34*B6*52/12</f>
        <v>12783.639583333332</v>
      </c>
      <c r="J126" s="50">
        <f>B34*B6*52/12</f>
        <v>12783.639583333332</v>
      </c>
      <c r="K126" s="50">
        <f>B34*B6*52/12</f>
        <v>12783.639583333332</v>
      </c>
      <c r="L126" s="50">
        <f>B34*B6*52/12</f>
        <v>12783.639583333332</v>
      </c>
      <c r="M126" s="50">
        <f>B34*B6*52/12</f>
        <v>12783.639583333332</v>
      </c>
    </row>
    <row r="127" spans="1:13" s="22" customFormat="1" ht="11.25">
      <c r="A127" s="50" t="s">
        <v>141</v>
      </c>
      <c r="B127" s="50">
        <f>D34*B6*52/12</f>
        <v>17595.575</v>
      </c>
      <c r="C127" s="50">
        <f>D34*B6*52/12</f>
        <v>17595.575</v>
      </c>
      <c r="D127" s="50">
        <f>D34*B6*52/12</f>
        <v>17595.575</v>
      </c>
      <c r="E127" s="50">
        <f>D34*B6*52/12</f>
        <v>17595.575</v>
      </c>
      <c r="F127" s="50">
        <f>D34*B6*52/12</f>
        <v>17595.575</v>
      </c>
      <c r="G127" s="50">
        <f>D34*B6*52/12</f>
        <v>17595.575</v>
      </c>
      <c r="H127" s="50">
        <f>D34*B6*52/12</f>
        <v>17595.575</v>
      </c>
      <c r="I127" s="50">
        <f>D34*B6*52/12</f>
        <v>17595.575</v>
      </c>
      <c r="J127" s="50">
        <f>D34*B6*52/12</f>
        <v>17595.575</v>
      </c>
      <c r="K127" s="50">
        <f>D34*B6*52/12</f>
        <v>17595.575</v>
      </c>
      <c r="L127" s="50">
        <f>D34*B6*52/12</f>
        <v>17595.575</v>
      </c>
      <c r="M127" s="50">
        <f>D34*B6*52/12</f>
        <v>17595.575</v>
      </c>
    </row>
    <row r="128" spans="1:13" s="22" customFormat="1" ht="11.25">
      <c r="A128" s="50" t="s">
        <v>89</v>
      </c>
      <c r="B128" s="50">
        <f>F46/12</f>
        <v>8045.025000000001</v>
      </c>
      <c r="C128" s="50">
        <f>B128</f>
        <v>8045.025000000001</v>
      </c>
      <c r="D128" s="50">
        <f>B128</f>
        <v>8045.025000000001</v>
      </c>
      <c r="E128" s="50">
        <f>B128</f>
        <v>8045.025000000001</v>
      </c>
      <c r="F128" s="50">
        <f>B128</f>
        <v>8045.025000000001</v>
      </c>
      <c r="G128" s="50">
        <f>B128</f>
        <v>8045.025000000001</v>
      </c>
      <c r="H128" s="50">
        <f>B128</f>
        <v>8045.025000000001</v>
      </c>
      <c r="I128" s="50">
        <f>B128</f>
        <v>8045.025000000001</v>
      </c>
      <c r="J128" s="50">
        <f>B128</f>
        <v>8045.025000000001</v>
      </c>
      <c r="K128" s="50">
        <f>B128</f>
        <v>8045.025000000001</v>
      </c>
      <c r="L128" s="50">
        <f>B128</f>
        <v>8045.025000000001</v>
      </c>
      <c r="M128" s="50">
        <f>B128</f>
        <v>8045.025000000001</v>
      </c>
    </row>
    <row r="129" spans="1:13" s="22" customFormat="1" ht="11.25">
      <c r="A129" s="50" t="s">
        <v>90</v>
      </c>
      <c r="B129" s="50">
        <f>F53/12</f>
        <v>4800</v>
      </c>
      <c r="C129" s="50">
        <f>B129</f>
        <v>4800</v>
      </c>
      <c r="D129" s="50">
        <f>B129</f>
        <v>4800</v>
      </c>
      <c r="E129" s="50">
        <f>B129</f>
        <v>4800</v>
      </c>
      <c r="F129" s="50">
        <f>B129</f>
        <v>4800</v>
      </c>
      <c r="G129" s="50">
        <f>B129</f>
        <v>4800</v>
      </c>
      <c r="H129" s="50">
        <f>B129</f>
        <v>4800</v>
      </c>
      <c r="I129" s="50">
        <f>B129</f>
        <v>4800</v>
      </c>
      <c r="J129" s="50">
        <f>B129</f>
        <v>4800</v>
      </c>
      <c r="K129" s="50">
        <f>B129</f>
        <v>4800</v>
      </c>
      <c r="L129" s="50">
        <f>B129</f>
        <v>4800</v>
      </c>
      <c r="M129" s="50">
        <f>B129</f>
        <v>4800</v>
      </c>
    </row>
    <row r="130" spans="1:13" s="22" customFormat="1" ht="11.25">
      <c r="A130" s="50" t="s">
        <v>131</v>
      </c>
      <c r="B130" s="50">
        <f aca="true" t="shared" si="3" ref="B130:M130">SUM(B126:B129)</f>
        <v>43224.239583333336</v>
      </c>
      <c r="C130" s="50">
        <f t="shared" si="3"/>
        <v>43224.239583333336</v>
      </c>
      <c r="D130" s="50">
        <f t="shared" si="3"/>
        <v>43224.239583333336</v>
      </c>
      <c r="E130" s="50">
        <f t="shared" si="3"/>
        <v>43224.239583333336</v>
      </c>
      <c r="F130" s="50">
        <f t="shared" si="3"/>
        <v>43224.239583333336</v>
      </c>
      <c r="G130" s="50">
        <f t="shared" si="3"/>
        <v>43224.239583333336</v>
      </c>
      <c r="H130" s="50">
        <f t="shared" si="3"/>
        <v>43224.239583333336</v>
      </c>
      <c r="I130" s="50">
        <f t="shared" si="3"/>
        <v>43224.239583333336</v>
      </c>
      <c r="J130" s="50">
        <f t="shared" si="3"/>
        <v>43224.239583333336</v>
      </c>
      <c r="K130" s="50">
        <f t="shared" si="3"/>
        <v>43224.239583333336</v>
      </c>
      <c r="L130" s="50">
        <f t="shared" si="3"/>
        <v>43224.239583333336</v>
      </c>
      <c r="M130" s="50">
        <f t="shared" si="3"/>
        <v>43224.239583333336</v>
      </c>
    </row>
    <row r="131" spans="1:13" s="22" customFormat="1" ht="11.25">
      <c r="A131" s="55" t="s">
        <v>132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</row>
    <row r="132" spans="1:14" s="22" customFormat="1" ht="11.25">
      <c r="A132" s="50" t="s">
        <v>142</v>
      </c>
      <c r="B132" s="50">
        <f>B70*I87*B6/6</f>
        <v>0</v>
      </c>
      <c r="C132" s="50">
        <f>B70*I87*B6/6</f>
        <v>0</v>
      </c>
      <c r="D132" s="50">
        <f>B70*I87*B6/6</f>
        <v>0</v>
      </c>
      <c r="E132" s="50">
        <f>B70*I87*B6/6</f>
        <v>0</v>
      </c>
      <c r="F132" s="50">
        <f>B70*I87*B6/6</f>
        <v>0</v>
      </c>
      <c r="G132" s="50">
        <f>B70*I87*B6/6</f>
        <v>0</v>
      </c>
      <c r="H132" s="50">
        <f>B70*I88*B6/6</f>
        <v>28477.951687500008</v>
      </c>
      <c r="I132" s="50">
        <f>B70*I88*B6/6</f>
        <v>28477.951687500008</v>
      </c>
      <c r="J132" s="50">
        <f>B70*I88*B6/6</f>
        <v>28477.951687500008</v>
      </c>
      <c r="K132" s="50">
        <f>B70*I88*B6/6</f>
        <v>28477.951687500008</v>
      </c>
      <c r="L132" s="50">
        <f>B70*I88*B6/6</f>
        <v>28477.951687500008</v>
      </c>
      <c r="M132" s="50">
        <f>B70*I88*B6/6</f>
        <v>28477.951687500008</v>
      </c>
      <c r="N132" s="24"/>
    </row>
    <row r="133" spans="1:13" s="22" customFormat="1" ht="11.25">
      <c r="A133" s="50" t="s">
        <v>143</v>
      </c>
      <c r="B133" s="50">
        <f>B70*I89*B6/6</f>
        <v>32546.230500000005</v>
      </c>
      <c r="C133" s="50">
        <f>B70*I89*B6/6</f>
        <v>32546.230500000005</v>
      </c>
      <c r="D133" s="50">
        <f>B70*I89*B6/6</f>
        <v>32546.230500000005</v>
      </c>
      <c r="E133" s="50">
        <f>B70*I89*B6/6</f>
        <v>32546.230500000005</v>
      </c>
      <c r="F133" s="50">
        <f>B70*I89*B6/6</f>
        <v>32546.230500000005</v>
      </c>
      <c r="G133" s="50">
        <f>B70*I89*B6/6</f>
        <v>32546.230500000005</v>
      </c>
      <c r="H133" s="50">
        <f>B70*I90*B6/3</f>
        <v>0</v>
      </c>
      <c r="I133" s="50">
        <f>B70*I90*B6/3</f>
        <v>0</v>
      </c>
      <c r="J133" s="50">
        <f>B70*I90*B6/3</f>
        <v>0</v>
      </c>
      <c r="K133" s="50">
        <f>D70*I91*B6/3</f>
        <v>30694.006000000005</v>
      </c>
      <c r="L133" s="50">
        <f>D70*I91*B6/3</f>
        <v>30694.006000000005</v>
      </c>
      <c r="M133" s="50">
        <f>D70*I91*B6/3</f>
        <v>30694.006000000005</v>
      </c>
    </row>
    <row r="134" spans="1:13" s="22" customFormat="1" ht="11.25">
      <c r="A134" s="50" t="s">
        <v>144</v>
      </c>
      <c r="B134" s="50">
        <f aca="true" t="shared" si="4" ref="B134:M134">SUM(B132:B133)</f>
        <v>32546.230500000005</v>
      </c>
      <c r="C134" s="50">
        <f t="shared" si="4"/>
        <v>32546.230500000005</v>
      </c>
      <c r="D134" s="50">
        <f t="shared" si="4"/>
        <v>32546.230500000005</v>
      </c>
      <c r="E134" s="50">
        <f t="shared" si="4"/>
        <v>32546.230500000005</v>
      </c>
      <c r="F134" s="50">
        <f t="shared" si="4"/>
        <v>32546.230500000005</v>
      </c>
      <c r="G134" s="50">
        <f t="shared" si="4"/>
        <v>32546.230500000005</v>
      </c>
      <c r="H134" s="50">
        <f t="shared" si="4"/>
        <v>28477.951687500008</v>
      </c>
      <c r="I134" s="50">
        <f t="shared" si="4"/>
        <v>28477.951687500008</v>
      </c>
      <c r="J134" s="50">
        <f t="shared" si="4"/>
        <v>28477.951687500008</v>
      </c>
      <c r="K134" s="50">
        <f t="shared" si="4"/>
        <v>59171.95768750001</v>
      </c>
      <c r="L134" s="50">
        <f t="shared" si="4"/>
        <v>59171.95768750001</v>
      </c>
      <c r="M134" s="50">
        <f t="shared" si="4"/>
        <v>59171.95768750001</v>
      </c>
    </row>
    <row r="135" spans="1:13" s="22" customFormat="1" ht="11.25">
      <c r="A135" s="55" t="s">
        <v>93</v>
      </c>
      <c r="B135" s="50">
        <f aca="true" t="shared" si="5" ref="B135:M135">B134-B130</f>
        <v>-10678.00908333333</v>
      </c>
      <c r="C135" s="50">
        <f t="shared" si="5"/>
        <v>-10678.00908333333</v>
      </c>
      <c r="D135" s="50">
        <f t="shared" si="5"/>
        <v>-10678.00908333333</v>
      </c>
      <c r="E135" s="50">
        <f t="shared" si="5"/>
        <v>-10678.00908333333</v>
      </c>
      <c r="F135" s="50">
        <f t="shared" si="5"/>
        <v>-10678.00908333333</v>
      </c>
      <c r="G135" s="50">
        <f t="shared" si="5"/>
        <v>-10678.00908333333</v>
      </c>
      <c r="H135" s="50">
        <f t="shared" si="5"/>
        <v>-14746.287895833328</v>
      </c>
      <c r="I135" s="50">
        <f t="shared" si="5"/>
        <v>-14746.287895833328</v>
      </c>
      <c r="J135" s="50">
        <f t="shared" si="5"/>
        <v>-14746.287895833328</v>
      </c>
      <c r="K135" s="50">
        <f t="shared" si="5"/>
        <v>15947.718104166677</v>
      </c>
      <c r="L135" s="50">
        <f t="shared" si="5"/>
        <v>15947.718104166677</v>
      </c>
      <c r="M135" s="50">
        <f t="shared" si="5"/>
        <v>15947.718104166677</v>
      </c>
    </row>
    <row r="136" spans="1:13" s="22" customFormat="1" ht="11.25">
      <c r="A136" s="55" t="s">
        <v>133</v>
      </c>
      <c r="B136" s="50">
        <f>B135</f>
        <v>-10678.00908333333</v>
      </c>
      <c r="C136" s="50">
        <f aca="true" t="shared" si="6" ref="C136:M136">B136+C135</f>
        <v>-21356.01816666666</v>
      </c>
      <c r="D136" s="50">
        <f t="shared" si="6"/>
        <v>-32034.027249999992</v>
      </c>
      <c r="E136" s="50">
        <f t="shared" si="6"/>
        <v>-42712.03633333332</v>
      </c>
      <c r="F136" s="50">
        <f t="shared" si="6"/>
        <v>-53390.04541666665</v>
      </c>
      <c r="G136" s="50">
        <f t="shared" si="6"/>
        <v>-64068.054499999984</v>
      </c>
      <c r="H136" s="50">
        <f t="shared" si="6"/>
        <v>-78814.34239583332</v>
      </c>
      <c r="I136" s="50">
        <f t="shared" si="6"/>
        <v>-93560.63029166665</v>
      </c>
      <c r="J136" s="50">
        <f t="shared" si="6"/>
        <v>-108306.91818749998</v>
      </c>
      <c r="K136" s="50">
        <f t="shared" si="6"/>
        <v>-92359.2000833333</v>
      </c>
      <c r="L136" s="50">
        <f t="shared" si="6"/>
        <v>-76411.48197916662</v>
      </c>
      <c r="M136" s="50">
        <f t="shared" si="6"/>
        <v>-60463.763874999946</v>
      </c>
    </row>
    <row r="137" spans="1:13" s="22" customFormat="1" ht="11.25">
      <c r="A137" s="55" t="s">
        <v>145</v>
      </c>
      <c r="B137" s="50">
        <f>M120</f>
        <v>51153.885125000044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1:13" s="22" customFormat="1" ht="11.25">
      <c r="A138" s="55" t="s">
        <v>146</v>
      </c>
      <c r="B138" s="50">
        <f>B12</f>
        <v>80000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 s="22" customFormat="1" ht="11.25">
      <c r="A139" s="55" t="s">
        <v>147</v>
      </c>
      <c r="B139" s="50">
        <f>SUM(B137:B138)</f>
        <v>131153.88512500003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1:13" s="22" customFormat="1" ht="11.25">
      <c r="A140" s="55" t="s">
        <v>137</v>
      </c>
      <c r="B140" s="50">
        <f>B139+B136</f>
        <v>120475.87604166669</v>
      </c>
      <c r="C140" s="50">
        <f>B139-C136</f>
        <v>152509.9032916667</v>
      </c>
      <c r="D140" s="50">
        <f>B139+D136</f>
        <v>99119.85787500005</v>
      </c>
      <c r="E140" s="50">
        <f>B139+E136</f>
        <v>88441.8487916667</v>
      </c>
      <c r="F140" s="50">
        <f>B139+F136</f>
        <v>77763.83970833337</v>
      </c>
      <c r="G140" s="50">
        <f>B139+G136</f>
        <v>67085.83062500005</v>
      </c>
      <c r="H140" s="50">
        <f>B139+H136</f>
        <v>52339.542729166715</v>
      </c>
      <c r="I140" s="50">
        <f>B139+I136</f>
        <v>37593.25483333338</v>
      </c>
      <c r="J140" s="50">
        <f>B139+J136</f>
        <v>22846.966937500052</v>
      </c>
      <c r="K140" s="50">
        <f>B139+K136</f>
        <v>38794.68504166673</v>
      </c>
      <c r="L140" s="50">
        <f>B139+L136</f>
        <v>54742.40314583341</v>
      </c>
      <c r="M140" s="50">
        <f>B139+M136</f>
        <v>70690.12125000008</v>
      </c>
    </row>
    <row r="141" spans="1:13" s="4" customFormat="1" ht="12.75">
      <c r="A141" s="68" t="s">
        <v>148</v>
      </c>
      <c r="B141" s="69"/>
      <c r="C141" s="70"/>
      <c r="D141" s="71"/>
      <c r="E141" s="70"/>
      <c r="F141" s="72"/>
      <c r="G141" s="70"/>
      <c r="H141" s="70"/>
      <c r="I141" s="71"/>
      <c r="J141" s="70"/>
      <c r="K141" s="72"/>
      <c r="L141" s="70"/>
      <c r="M141" s="70"/>
    </row>
    <row r="142" spans="1:13" s="28" customFormat="1" ht="12.75">
      <c r="A142" s="77" t="s">
        <v>120</v>
      </c>
      <c r="B142" s="78" t="s">
        <v>104</v>
      </c>
      <c r="C142" s="78" t="s">
        <v>107</v>
      </c>
      <c r="D142" s="78" t="s">
        <v>111</v>
      </c>
      <c r="E142" s="78" t="s">
        <v>121</v>
      </c>
      <c r="F142" s="78" t="s">
        <v>122</v>
      </c>
      <c r="G142" s="78" t="s">
        <v>123</v>
      </c>
      <c r="H142" s="78" t="s">
        <v>124</v>
      </c>
      <c r="I142" s="78" t="s">
        <v>125</v>
      </c>
      <c r="J142" s="78" t="s">
        <v>126</v>
      </c>
      <c r="K142" s="78" t="s">
        <v>127</v>
      </c>
      <c r="L142" s="78" t="s">
        <v>128</v>
      </c>
      <c r="M142" s="78" t="s">
        <v>129</v>
      </c>
    </row>
    <row r="143" spans="1:13" s="28" customFormat="1" ht="12.75">
      <c r="A143" s="79" t="s">
        <v>130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</row>
    <row r="144" spans="1:13" s="28" customFormat="1" ht="12.75">
      <c r="A144" s="50" t="s">
        <v>149</v>
      </c>
      <c r="B144" s="50">
        <f>B34*B6*52/12</f>
        <v>12783.639583333332</v>
      </c>
      <c r="C144" s="50">
        <f>B34*B6*52/12</f>
        <v>12783.639583333332</v>
      </c>
      <c r="D144" s="50">
        <f>B34*B6*52/12</f>
        <v>12783.639583333332</v>
      </c>
      <c r="E144" s="50">
        <f>B34*B6*52/12</f>
        <v>12783.639583333332</v>
      </c>
      <c r="F144" s="50">
        <f>B34*B6*52/12</f>
        <v>12783.639583333332</v>
      </c>
      <c r="G144" s="50">
        <f>B34*B6*52/12</f>
        <v>12783.639583333332</v>
      </c>
      <c r="H144" s="50">
        <f>B34*B6*52/12</f>
        <v>12783.639583333332</v>
      </c>
      <c r="I144" s="50">
        <f>B34*B6*52/12</f>
        <v>12783.639583333332</v>
      </c>
      <c r="J144" s="50">
        <f>B34*B6*52/12</f>
        <v>12783.639583333332</v>
      </c>
      <c r="K144" s="50">
        <f>B34*B6*52/12</f>
        <v>12783.639583333332</v>
      </c>
      <c r="L144" s="50">
        <f>B34*B6*52/12</f>
        <v>12783.639583333332</v>
      </c>
      <c r="M144" s="50">
        <f>B34*B6*52/12</f>
        <v>12783.639583333332</v>
      </c>
    </row>
    <row r="145" spans="1:13" s="28" customFormat="1" ht="12.75">
      <c r="A145" s="50" t="s">
        <v>150</v>
      </c>
      <c r="B145" s="50">
        <f>D34*B6*52/12</f>
        <v>17595.575</v>
      </c>
      <c r="C145" s="50">
        <f>D34*B6*52/12</f>
        <v>17595.575</v>
      </c>
      <c r="D145" s="50">
        <f>D34*B6*52/12</f>
        <v>17595.575</v>
      </c>
      <c r="E145" s="50">
        <f>D34*B6*52/12</f>
        <v>17595.575</v>
      </c>
      <c r="F145" s="50">
        <f>D34*B6*52/12</f>
        <v>17595.575</v>
      </c>
      <c r="G145" s="50">
        <f>D34*B6*52/12</f>
        <v>17595.575</v>
      </c>
      <c r="H145" s="50">
        <f>D34*B6*52/12</f>
        <v>17595.575</v>
      </c>
      <c r="I145" s="50">
        <f>D34*B6*52/12</f>
        <v>17595.575</v>
      </c>
      <c r="J145" s="50">
        <f>D34*B6*52/12</f>
        <v>17595.575</v>
      </c>
      <c r="K145" s="50">
        <f>D34*B6*52/12</f>
        <v>17595.575</v>
      </c>
      <c r="L145" s="50">
        <f>D34*B6*52/12</f>
        <v>17595.575</v>
      </c>
      <c r="M145" s="50">
        <f>D34*B6*52/12</f>
        <v>17595.575</v>
      </c>
    </row>
    <row r="146" spans="1:13" s="28" customFormat="1" ht="12.75">
      <c r="A146" s="50" t="s">
        <v>151</v>
      </c>
      <c r="B146" s="50">
        <f>F34*B6*52/12</f>
        <v>28024.87708333333</v>
      </c>
      <c r="C146" s="50">
        <f>F34*B6*52/12</f>
        <v>28024.87708333333</v>
      </c>
      <c r="D146" s="50">
        <f>F34*B6*52/12</f>
        <v>28024.87708333333</v>
      </c>
      <c r="E146" s="50">
        <f>F34*B6*52/12</f>
        <v>28024.87708333333</v>
      </c>
      <c r="F146" s="50">
        <f>F34*B6*52/12</f>
        <v>28024.87708333333</v>
      </c>
      <c r="G146" s="50">
        <f>F34*B6*52/12</f>
        <v>28024.87708333333</v>
      </c>
      <c r="H146" s="50">
        <f>F34*B6*52/12</f>
        <v>28024.87708333333</v>
      </c>
      <c r="I146" s="50">
        <f>F34*B6*52/12</f>
        <v>28024.87708333333</v>
      </c>
      <c r="J146" s="50">
        <f>F34*B6*52/12</f>
        <v>28024.87708333333</v>
      </c>
      <c r="K146" s="50">
        <f>F34*B6*52/12</f>
        <v>28024.87708333333</v>
      </c>
      <c r="L146" s="50">
        <f>F34*B6*52/12</f>
        <v>28024.87708333333</v>
      </c>
      <c r="M146" s="50">
        <f>F34*B6*52/12</f>
        <v>28024.87708333333</v>
      </c>
    </row>
    <row r="147" spans="1:13" s="28" customFormat="1" ht="12.75">
      <c r="A147" s="50" t="s">
        <v>89</v>
      </c>
      <c r="B147" s="50">
        <f>H46/12</f>
        <v>9865.025</v>
      </c>
      <c r="C147" s="50">
        <f>H46/12</f>
        <v>9865.025</v>
      </c>
      <c r="D147" s="50">
        <f>H46/12</f>
        <v>9865.025</v>
      </c>
      <c r="E147" s="50">
        <f>H46/12</f>
        <v>9865.025</v>
      </c>
      <c r="F147" s="50">
        <f>H46/12</f>
        <v>9865.025</v>
      </c>
      <c r="G147" s="50">
        <f>H46/12</f>
        <v>9865.025</v>
      </c>
      <c r="H147" s="50">
        <f>H46/12</f>
        <v>9865.025</v>
      </c>
      <c r="I147" s="50">
        <f>H46/12</f>
        <v>9865.025</v>
      </c>
      <c r="J147" s="50">
        <f>H46/12</f>
        <v>9865.025</v>
      </c>
      <c r="K147" s="50">
        <f>H46/12</f>
        <v>9865.025</v>
      </c>
      <c r="L147" s="50">
        <f>H46/12</f>
        <v>9865.025</v>
      </c>
      <c r="M147" s="50">
        <f>H46/12</f>
        <v>9865.025</v>
      </c>
    </row>
    <row r="148" spans="1:13" s="28" customFormat="1" ht="12.75">
      <c r="A148" s="50" t="s">
        <v>90</v>
      </c>
      <c r="B148" s="50">
        <f>H53/12</f>
        <v>5333.333333333333</v>
      </c>
      <c r="C148" s="50">
        <f>H53/12</f>
        <v>5333.333333333333</v>
      </c>
      <c r="D148" s="50">
        <f>H53/12</f>
        <v>5333.333333333333</v>
      </c>
      <c r="E148" s="50">
        <f>H53/12</f>
        <v>5333.333333333333</v>
      </c>
      <c r="F148" s="50">
        <f>H53/12</f>
        <v>5333.333333333333</v>
      </c>
      <c r="G148" s="50">
        <f>H53/12</f>
        <v>5333.333333333333</v>
      </c>
      <c r="H148" s="50">
        <f>H53/12</f>
        <v>5333.333333333333</v>
      </c>
      <c r="I148" s="50">
        <f>H53/12</f>
        <v>5333.333333333333</v>
      </c>
      <c r="J148" s="50">
        <f>H53/12</f>
        <v>5333.333333333333</v>
      </c>
      <c r="K148" s="50">
        <f>H53/12</f>
        <v>5333.333333333333</v>
      </c>
      <c r="L148" s="50">
        <f>H53/12</f>
        <v>5333.333333333333</v>
      </c>
      <c r="M148" s="50">
        <f>H53/12</f>
        <v>5333.333333333333</v>
      </c>
    </row>
    <row r="149" spans="1:13" s="28" customFormat="1" ht="12.75">
      <c r="A149" s="50" t="s">
        <v>131</v>
      </c>
      <c r="B149" s="50">
        <f aca="true" t="shared" si="7" ref="B149:M149">SUM(B144:B148)</f>
        <v>73602.44999999998</v>
      </c>
      <c r="C149" s="50">
        <f t="shared" si="7"/>
        <v>73602.44999999998</v>
      </c>
      <c r="D149" s="50">
        <f t="shared" si="7"/>
        <v>73602.44999999998</v>
      </c>
      <c r="E149" s="50">
        <f t="shared" si="7"/>
        <v>73602.44999999998</v>
      </c>
      <c r="F149" s="50">
        <f t="shared" si="7"/>
        <v>73602.44999999998</v>
      </c>
      <c r="G149" s="50">
        <f t="shared" si="7"/>
        <v>73602.44999999998</v>
      </c>
      <c r="H149" s="50">
        <f t="shared" si="7"/>
        <v>73602.44999999998</v>
      </c>
      <c r="I149" s="50">
        <f t="shared" si="7"/>
        <v>73602.44999999998</v>
      </c>
      <c r="J149" s="50">
        <f t="shared" si="7"/>
        <v>73602.44999999998</v>
      </c>
      <c r="K149" s="50">
        <f t="shared" si="7"/>
        <v>73602.44999999998</v>
      </c>
      <c r="L149" s="50">
        <f t="shared" si="7"/>
        <v>73602.44999999998</v>
      </c>
      <c r="M149" s="50">
        <f t="shared" si="7"/>
        <v>73602.44999999998</v>
      </c>
    </row>
    <row r="150" spans="1:13" s="28" customFormat="1" ht="12.75">
      <c r="A150" s="79" t="s">
        <v>132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1:14" s="28" customFormat="1" ht="12.75">
      <c r="A151" s="50" t="s">
        <v>152</v>
      </c>
      <c r="B151" s="50">
        <f>B70*I87*B6/6</f>
        <v>0</v>
      </c>
      <c r="C151" s="50">
        <f>B70*I87*B6/6</f>
        <v>0</v>
      </c>
      <c r="D151" s="50">
        <f>B70*I87*B6/6</f>
        <v>0</v>
      </c>
      <c r="E151" s="50">
        <f>B70*I87*B6/6</f>
        <v>0</v>
      </c>
      <c r="F151" s="50">
        <f>B70*I87*B6/6</f>
        <v>0</v>
      </c>
      <c r="G151" s="50">
        <f>B70*I87*B6/6</f>
        <v>0</v>
      </c>
      <c r="H151" s="50">
        <f>B70*I88*B6/6</f>
        <v>28477.951687500008</v>
      </c>
      <c r="I151" s="50">
        <f>B70*I88*B6/6</f>
        <v>28477.951687500008</v>
      </c>
      <c r="J151" s="50">
        <f>B70*I88*B6/6</f>
        <v>28477.951687500008</v>
      </c>
      <c r="K151" s="50">
        <f>B70*I88*B6/6</f>
        <v>28477.951687500008</v>
      </c>
      <c r="L151" s="50">
        <f>B70*I88*B6/6</f>
        <v>28477.951687500008</v>
      </c>
      <c r="M151" s="50">
        <f>B70*I88*B6/6</f>
        <v>28477.951687500008</v>
      </c>
      <c r="N151" s="29"/>
    </row>
    <row r="152" spans="1:14" s="28" customFormat="1" ht="12.75">
      <c r="A152" s="50" t="s">
        <v>153</v>
      </c>
      <c r="B152" s="50">
        <f>B70*I89*B6/6</f>
        <v>32546.230500000005</v>
      </c>
      <c r="C152" s="50">
        <f>B70*I89*B6/6</f>
        <v>32546.230500000005</v>
      </c>
      <c r="D152" s="50">
        <f>B70*I89*B6/6</f>
        <v>32546.230500000005</v>
      </c>
      <c r="E152" s="50">
        <f>B70*I89*B6/6</f>
        <v>32546.230500000005</v>
      </c>
      <c r="F152" s="50">
        <f>B70*I89*B6/6</f>
        <v>32546.230500000005</v>
      </c>
      <c r="G152" s="50">
        <f>B70*I89*B6/6</f>
        <v>32546.230500000005</v>
      </c>
      <c r="H152" s="50">
        <f>B70*I90*B6/3</f>
        <v>0</v>
      </c>
      <c r="I152" s="50">
        <f>B70*I90*B6/3</f>
        <v>0</v>
      </c>
      <c r="J152" s="50">
        <f>B70*I90*B6/3</f>
        <v>0</v>
      </c>
      <c r="K152" s="50">
        <f>D70*I91*B6/3</f>
        <v>30694.006000000005</v>
      </c>
      <c r="L152" s="50">
        <f>D70*I91*B6/3</f>
        <v>30694.006000000005</v>
      </c>
      <c r="M152" s="50">
        <f>D70*I91*B6/3</f>
        <v>30694.006000000005</v>
      </c>
      <c r="N152" s="29"/>
    </row>
    <row r="153" spans="1:14" s="28" customFormat="1" ht="12.75">
      <c r="A153" s="50" t="s">
        <v>154</v>
      </c>
      <c r="B153" s="50">
        <f>D70*I92*B6/11</f>
        <v>39762.68959090909</v>
      </c>
      <c r="C153" s="50">
        <f>D70*I92*B6/11</f>
        <v>39762.68959090909</v>
      </c>
      <c r="D153" s="50">
        <f>D70*I92*B6/11</f>
        <v>39762.68959090909</v>
      </c>
      <c r="E153" s="50">
        <f>D70*I92*B6/11</f>
        <v>39762.68959090909</v>
      </c>
      <c r="F153" s="50">
        <f>D70*I92*B6/11</f>
        <v>39762.68959090909</v>
      </c>
      <c r="G153" s="50">
        <f>D70*I92*B6/11</f>
        <v>39762.68959090909</v>
      </c>
      <c r="H153" s="50">
        <f>D70*I92*B6/11</f>
        <v>39762.68959090909</v>
      </c>
      <c r="I153" s="50">
        <f>D70*I92*B6/11</f>
        <v>39762.68959090909</v>
      </c>
      <c r="J153" s="50">
        <f>D70*I92*B6/11</f>
        <v>39762.68959090909</v>
      </c>
      <c r="K153" s="50">
        <f>D70*I93*B6</f>
        <v>0</v>
      </c>
      <c r="L153" s="50">
        <f>D70*I92*B6/11</f>
        <v>39762.68959090909</v>
      </c>
      <c r="M153" s="50">
        <f>D70*I92*B6/11</f>
        <v>39762.68959090909</v>
      </c>
      <c r="N153" s="29"/>
    </row>
    <row r="154" spans="1:14" s="28" customFormat="1" ht="12.75">
      <c r="A154" s="50" t="s">
        <v>144</v>
      </c>
      <c r="B154" s="50">
        <f aca="true" t="shared" si="8" ref="B154:M154">SUM(B151:B153)</f>
        <v>72308.92009090909</v>
      </c>
      <c r="C154" s="50">
        <f t="shared" si="8"/>
        <v>72308.92009090909</v>
      </c>
      <c r="D154" s="50">
        <f t="shared" si="8"/>
        <v>72308.92009090909</v>
      </c>
      <c r="E154" s="50">
        <f t="shared" si="8"/>
        <v>72308.92009090909</v>
      </c>
      <c r="F154" s="50">
        <f t="shared" si="8"/>
        <v>72308.92009090909</v>
      </c>
      <c r="G154" s="50">
        <f t="shared" si="8"/>
        <v>72308.92009090909</v>
      </c>
      <c r="H154" s="50">
        <f t="shared" si="8"/>
        <v>68240.6412784091</v>
      </c>
      <c r="I154" s="50">
        <f t="shared" si="8"/>
        <v>68240.6412784091</v>
      </c>
      <c r="J154" s="50">
        <f t="shared" si="8"/>
        <v>68240.6412784091</v>
      </c>
      <c r="K154" s="50">
        <f t="shared" si="8"/>
        <v>59171.95768750001</v>
      </c>
      <c r="L154" s="50">
        <f t="shared" si="8"/>
        <v>98934.6472784091</v>
      </c>
      <c r="M154" s="50">
        <f t="shared" si="8"/>
        <v>98934.6472784091</v>
      </c>
      <c r="N154" s="29"/>
    </row>
    <row r="155" spans="1:13" s="28" customFormat="1" ht="12.75">
      <c r="A155" s="79" t="s">
        <v>93</v>
      </c>
      <c r="B155" s="50">
        <f aca="true" t="shared" si="9" ref="B155:M155">B154-B149</f>
        <v>-1293.5299090908957</v>
      </c>
      <c r="C155" s="50">
        <f t="shared" si="9"/>
        <v>-1293.5299090908957</v>
      </c>
      <c r="D155" s="50">
        <f t="shared" si="9"/>
        <v>-1293.5299090908957</v>
      </c>
      <c r="E155" s="50">
        <f t="shared" si="9"/>
        <v>-1293.5299090908957</v>
      </c>
      <c r="F155" s="50">
        <f t="shared" si="9"/>
        <v>-1293.5299090908957</v>
      </c>
      <c r="G155" s="50">
        <f t="shared" si="9"/>
        <v>-1293.5299090908957</v>
      </c>
      <c r="H155" s="50">
        <f t="shared" si="9"/>
        <v>-5361.808721590889</v>
      </c>
      <c r="I155" s="50">
        <f t="shared" si="9"/>
        <v>-5361.808721590889</v>
      </c>
      <c r="J155" s="50">
        <f t="shared" si="9"/>
        <v>-5361.808721590889</v>
      </c>
      <c r="K155" s="50">
        <f t="shared" si="9"/>
        <v>-14430.49231249997</v>
      </c>
      <c r="L155" s="50">
        <f t="shared" si="9"/>
        <v>25332.19727840912</v>
      </c>
      <c r="M155" s="50">
        <f t="shared" si="9"/>
        <v>25332.19727840912</v>
      </c>
    </row>
    <row r="156" spans="1:13" s="28" customFormat="1" ht="12.75">
      <c r="A156" s="79" t="s">
        <v>133</v>
      </c>
      <c r="B156" s="50">
        <f>B155</f>
        <v>-1293.5299090908957</v>
      </c>
      <c r="C156" s="50">
        <f aca="true" t="shared" si="10" ref="C156:M156">B156+C155</f>
        <v>-2587.0598181817913</v>
      </c>
      <c r="D156" s="50">
        <f t="shared" si="10"/>
        <v>-3880.589727272687</v>
      </c>
      <c r="E156" s="50">
        <f t="shared" si="10"/>
        <v>-5174.119636363583</v>
      </c>
      <c r="F156" s="50">
        <f t="shared" si="10"/>
        <v>-6467.649545454478</v>
      </c>
      <c r="G156" s="50">
        <f t="shared" si="10"/>
        <v>-7761.179454545374</v>
      </c>
      <c r="H156" s="50">
        <f t="shared" si="10"/>
        <v>-13122.988176136263</v>
      </c>
      <c r="I156" s="50">
        <f t="shared" si="10"/>
        <v>-18484.796897727152</v>
      </c>
      <c r="J156" s="50">
        <f t="shared" si="10"/>
        <v>-23846.60561931804</v>
      </c>
      <c r="K156" s="50">
        <f t="shared" si="10"/>
        <v>-38277.09793181801</v>
      </c>
      <c r="L156" s="50">
        <f t="shared" si="10"/>
        <v>-12944.900653408891</v>
      </c>
      <c r="M156" s="50">
        <f t="shared" si="10"/>
        <v>12387.296625000228</v>
      </c>
    </row>
    <row r="157" spans="1:13" s="28" customFormat="1" ht="12.75">
      <c r="A157" s="79" t="s">
        <v>155</v>
      </c>
      <c r="B157" s="50">
        <f>M140</f>
        <v>70690.12125000008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3" s="28" customFormat="1" ht="12.75">
      <c r="A158" s="79" t="s">
        <v>156</v>
      </c>
      <c r="B158" s="50">
        <f>B13</f>
        <v>0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3" s="28" customFormat="1" ht="12.75">
      <c r="A159" s="79" t="s">
        <v>157</v>
      </c>
      <c r="B159" s="50">
        <f>SUM(B157:B158)</f>
        <v>70690.12125000008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 s="28" customFormat="1" ht="12.75">
      <c r="A160" s="79" t="s">
        <v>137</v>
      </c>
      <c r="B160" s="50">
        <f>B159+B156</f>
        <v>69396.59134090919</v>
      </c>
      <c r="C160" s="50">
        <f>B159+C156</f>
        <v>68103.06143181829</v>
      </c>
      <c r="D160" s="50">
        <f>B159+D156</f>
        <v>66809.5315227274</v>
      </c>
      <c r="E160" s="50">
        <f>B159+E156</f>
        <v>65516.0016136365</v>
      </c>
      <c r="F160" s="50">
        <f>B159+F156</f>
        <v>64222.471704545605</v>
      </c>
      <c r="G160" s="50">
        <f>B159+G156</f>
        <v>62928.94179545471</v>
      </c>
      <c r="H160" s="50">
        <f>B159+H156</f>
        <v>57567.13307386382</v>
      </c>
      <c r="I160" s="50">
        <f>B159+I156</f>
        <v>52205.32435227293</v>
      </c>
      <c r="J160" s="50">
        <f>B159+J156</f>
        <v>46843.51563068204</v>
      </c>
      <c r="K160" s="50">
        <f>B159+K156</f>
        <v>32413.023318182073</v>
      </c>
      <c r="L160" s="50">
        <f>B159+L156</f>
        <v>57745.22059659119</v>
      </c>
      <c r="M160" s="50">
        <f>B159+M156</f>
        <v>83077.4178750003</v>
      </c>
      <c r="N160" s="29"/>
    </row>
    <row r="162" spans="1:13" s="101" customFormat="1" ht="12.75">
      <c r="A162" s="99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</row>
    <row r="163" spans="1:13" s="104" customFormat="1" ht="12.75">
      <c r="A163" s="102"/>
      <c r="B163" s="102"/>
      <c r="C163" s="102"/>
      <c r="D163" s="103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1:13" s="104" customFormat="1" ht="12.75">
      <c r="A164" s="102"/>
      <c r="B164" s="102"/>
      <c r="C164" s="102"/>
      <c r="D164" s="103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1:13" s="101" customFormat="1" ht="12.75">
      <c r="A165" s="105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</row>
    <row r="166" spans="1:13" s="101" customFormat="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</row>
    <row r="167" spans="1:13" s="104" customFormat="1" ht="12.75">
      <c r="A167" s="102"/>
      <c r="B167" s="102"/>
      <c r="C167" s="102"/>
      <c r="D167" s="106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1:13" s="104" customFormat="1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1:13" s="104" customFormat="1" ht="12.75">
      <c r="A169" s="102"/>
      <c r="B169" s="102"/>
      <c r="C169" s="102"/>
      <c r="D169" s="103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1:13" s="101" customFormat="1" ht="12.75">
      <c r="A170" s="105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</row>
    <row r="171" spans="1:13" s="110" customFormat="1" ht="12.75">
      <c r="A171" s="107"/>
      <c r="B171" s="107"/>
      <c r="C171" s="107"/>
      <c r="D171" s="108"/>
      <c r="E171" s="109"/>
      <c r="F171" s="107"/>
      <c r="G171" s="109"/>
      <c r="H171" s="108"/>
      <c r="I171" s="109"/>
      <c r="J171" s="107"/>
      <c r="K171" s="107"/>
      <c r="L171" s="109"/>
      <c r="M171" s="107"/>
    </row>
    <row r="172" spans="1:13" s="101" customFormat="1" ht="12.75">
      <c r="A172" s="105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</row>
    <row r="173" spans="1:13" s="104" customFormat="1" ht="12.75">
      <c r="A173" s="102"/>
      <c r="B173" s="102"/>
      <c r="C173" s="102"/>
      <c r="D173" s="103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1:13" s="104" customFormat="1" ht="12.75">
      <c r="A174" s="102"/>
      <c r="B174" s="102"/>
      <c r="C174" s="102"/>
      <c r="D174" s="103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1:13" s="101" customFormat="1" ht="12.75">
      <c r="A175" s="105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</row>
    <row r="176" spans="1:13" s="104" customFormat="1" ht="12.75">
      <c r="A176" s="102"/>
      <c r="B176" s="102"/>
      <c r="C176" s="102"/>
      <c r="D176" s="103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1:13" s="104" customFormat="1" ht="12.75">
      <c r="A177" s="102"/>
      <c r="B177" s="102"/>
      <c r="C177" s="102"/>
      <c r="D177" s="103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3" s="101" customFormat="1" ht="12.75">
      <c r="A178" s="105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</row>
    <row r="179" spans="1:13" s="101" customFormat="1" ht="12.75">
      <c r="A179" s="105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</row>
  </sheetData>
  <sheetProtection/>
  <printOptions gridLines="1" headings="1"/>
  <pageMargins left="0.5905511811023623" right="0.7874015748031497" top="0.7874015748031497" bottom="0.7874015748031497" header="0.5118110236220472" footer="0.5118110236220472"/>
  <pageSetup orientation="landscape" paperSize="9" r:id="rId1"/>
  <headerFooter alignWithMargins="0">
    <oddHeader>&amp;L&amp;F&amp;RTabelle 2
</oddHeader>
    <oddFooter>&amp;CSeite &amp;P</oddFooter>
  </headerFooter>
  <rowBreaks count="2" manualBreakCount="2">
    <brk id="46" max="65535" man="1"/>
    <brk id="140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Grossverbund Kalkulation</dc:title>
  <dc:subject/>
  <dc:creator> </dc:creator>
  <cp:keywords/>
  <dc:description/>
  <cp:lastModifiedBy>Anna Scheidiger</cp:lastModifiedBy>
  <dcterms:created xsi:type="dcterms:W3CDTF">2000-01-09T14:01:49Z</dcterms:created>
  <dcterms:modified xsi:type="dcterms:W3CDTF">2009-08-17T16:51:16Z</dcterms:modified>
  <cp:category/>
  <cp:version/>
  <cp:contentType/>
  <cp:contentStatus/>
</cp:coreProperties>
</file>